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Jaime Flores\Dropbox (Personal)\Dropbox\CAPACITACIÓN\2021\Declaración anual de personas físicas\"/>
    </mc:Choice>
  </mc:AlternateContent>
  <xr:revisionPtr revIDLastSave="0" documentId="13_ncr:1_{6B9B2B1D-312E-49C8-BDE1-05AA9E9070B9}" xr6:coauthVersionLast="46" xr6:coauthVersionMax="46" xr10:uidLastSave="{00000000-0000-0000-0000-000000000000}"/>
  <bookViews>
    <workbookView xWindow="-110" yWindow="-110" windowWidth="19420" windowHeight="10420" activeTab="6" xr2:uid="{4D00432B-7124-42A1-91D1-2EBB29BF88C4}"/>
  </bookViews>
  <sheets>
    <sheet name="INPC" sheetId="5" r:id="rId1"/>
    <sheet name="Datos" sheetId="3" r:id="rId2"/>
    <sheet name="TARIFAS" sheetId="1" r:id="rId3"/>
    <sheet name="ActEmp" sheetId="2" r:id="rId4"/>
    <sheet name="Arrend." sheetId="4" r:id="rId5"/>
    <sheet name="Enajenación" sheetId="6" r:id="rId6"/>
    <sheet name="Anual" sheetId="7" r:id="rId7"/>
  </sheets>
  <definedNames>
    <definedName name="ABR">TARIFAS!$Q$5:$T$15</definedName>
    <definedName name="AGO">TARIFAS!$AK$5:$AN$15</definedName>
    <definedName name="anual">TARIFAS!$B$19:$E$29</definedName>
    <definedName name="DIC">TARIFAS!$BE$5:$BH$15</definedName>
    <definedName name="ENE">TARIFAS!$B$5:$E$15</definedName>
    <definedName name="FEB">TARIFAS!$G$5:$J$15</definedName>
    <definedName name="INPC">INPC!$B$4:$N$13</definedName>
    <definedName name="JUL">TARIFAS!$AF$5:$AI$15</definedName>
    <definedName name="JUN">TARIFAS!$AA$5:$AD$15</definedName>
    <definedName name="MAR">TARIFAS!$L$5:$O$15</definedName>
    <definedName name="MAY">TARIFAS!$V$5:$Y$15</definedName>
    <definedName name="Nombre">Datos!$C$2</definedName>
    <definedName name="NOV">TARIFAS!$AZ$5:$BC$15</definedName>
    <definedName name="OCT">TARIFAS!$AU$5:$AX$15</definedName>
    <definedName name="RFC">Datos!$C$3</definedName>
    <definedName name="SEP">TARIFAS!$AP$5:$AS$15</definedName>
    <definedName name="Tipo">Arrend.!$A$1</definedName>
    <definedName name="UMA">Datos!$C$4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6" l="1"/>
  <c r="C41" i="6"/>
  <c r="B32" i="6"/>
  <c r="C27" i="6"/>
  <c r="C19" i="6"/>
  <c r="C22" i="6"/>
  <c r="C23" i="6" s="1"/>
  <c r="C21" i="6"/>
  <c r="C17" i="6"/>
  <c r="B18" i="6"/>
  <c r="B17" i="6"/>
  <c r="C12" i="6"/>
  <c r="C13" i="6" s="1"/>
  <c r="C11" i="6"/>
  <c r="C8" i="6"/>
  <c r="C33" i="6" s="1"/>
  <c r="C14" i="6" l="1"/>
  <c r="C15" i="6" s="1"/>
  <c r="C18" i="6" s="1"/>
  <c r="C20" i="6" s="1"/>
  <c r="C24" i="6" s="1"/>
  <c r="C28" i="6" s="1"/>
  <c r="C29" i="6" s="1"/>
  <c r="C32" i="6" s="1"/>
  <c r="C34" i="6" s="1"/>
  <c r="C39" i="6" l="1"/>
  <c r="C37" i="6"/>
  <c r="C35" i="6"/>
  <c r="C36" i="6" s="1"/>
  <c r="C38" i="6" l="1"/>
  <c r="C40" i="6"/>
  <c r="C31" i="2" l="1"/>
  <c r="N22" i="2"/>
  <c r="M22" i="2"/>
  <c r="L22" i="2"/>
  <c r="K22" i="2"/>
  <c r="J22" i="2"/>
  <c r="I22" i="2"/>
  <c r="H22" i="2"/>
  <c r="G22" i="2"/>
  <c r="F22" i="2"/>
  <c r="E22" i="2"/>
  <c r="D22" i="2"/>
  <c r="C22" i="2"/>
  <c r="C28" i="2"/>
  <c r="H23" i="4"/>
  <c r="H20" i="4"/>
  <c r="D8" i="4" l="1"/>
  <c r="D9" i="4" s="1"/>
  <c r="E8" i="4"/>
  <c r="E9" i="4" s="1"/>
  <c r="F8" i="4"/>
  <c r="F9" i="4" s="1"/>
  <c r="G8" i="4"/>
  <c r="G9" i="4" s="1"/>
  <c r="H8" i="4"/>
  <c r="H9" i="4" s="1"/>
  <c r="I8" i="4"/>
  <c r="I9" i="4" s="1"/>
  <c r="J8" i="4"/>
  <c r="J9" i="4" s="1"/>
  <c r="K8" i="4"/>
  <c r="K9" i="4" s="1"/>
  <c r="L8" i="4"/>
  <c r="L9" i="4" s="1"/>
  <c r="M8" i="4"/>
  <c r="M9" i="4" s="1"/>
  <c r="N8" i="4"/>
  <c r="N9" i="4" s="1"/>
  <c r="C8" i="4"/>
  <c r="C9" i="4" s="1"/>
  <c r="B3" i="4"/>
  <c r="B2" i="4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C27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C26" i="2" s="1"/>
  <c r="C7" i="2"/>
  <c r="D7" i="2" s="1"/>
  <c r="B3" i="2"/>
  <c r="B2" i="2"/>
  <c r="AU12" i="1"/>
  <c r="AV11" i="1" s="1"/>
  <c r="AW10" i="1"/>
  <c r="AX1" i="1"/>
  <c r="AU11" i="1" s="1"/>
  <c r="AV10" i="1" s="1"/>
  <c r="AC14" i="1"/>
  <c r="AC12" i="1"/>
  <c r="AC10" i="1"/>
  <c r="AC8" i="1"/>
  <c r="AC6" i="1"/>
  <c r="AD1" i="1"/>
  <c r="AC5" i="1" s="1"/>
  <c r="Y1" i="1"/>
  <c r="X15" i="1" s="1"/>
  <c r="T1" i="1"/>
  <c r="S14" i="1" s="1"/>
  <c r="L15" i="1"/>
  <c r="M14" i="1" s="1"/>
  <c r="N14" i="1"/>
  <c r="L12" i="1"/>
  <c r="M11" i="1" s="1"/>
  <c r="L10" i="1"/>
  <c r="N9" i="1"/>
  <c r="M9" i="1"/>
  <c r="L7" i="1"/>
  <c r="M6" i="1" s="1"/>
  <c r="N6" i="1"/>
  <c r="O1" i="1"/>
  <c r="N11" i="1" s="1"/>
  <c r="I6" i="1"/>
  <c r="I7" i="1"/>
  <c r="I8" i="1"/>
  <c r="I9" i="1"/>
  <c r="I10" i="1"/>
  <c r="I11" i="1"/>
  <c r="I12" i="1"/>
  <c r="I13" i="1"/>
  <c r="I14" i="1"/>
  <c r="I15" i="1"/>
  <c r="I5" i="1"/>
  <c r="H6" i="1"/>
  <c r="H7" i="1"/>
  <c r="H8" i="1"/>
  <c r="H9" i="1"/>
  <c r="H10" i="1"/>
  <c r="H11" i="1"/>
  <c r="H12" i="1"/>
  <c r="H13" i="1"/>
  <c r="H14" i="1"/>
  <c r="H5" i="1"/>
  <c r="G7" i="1"/>
  <c r="G8" i="1"/>
  <c r="G9" i="1"/>
  <c r="G10" i="1"/>
  <c r="G11" i="1"/>
  <c r="G12" i="1"/>
  <c r="G13" i="1"/>
  <c r="G14" i="1"/>
  <c r="G15" i="1"/>
  <c r="G6" i="1"/>
  <c r="J1" i="1"/>
  <c r="H21" i="4" l="1"/>
  <c r="N14" i="4"/>
  <c r="N10" i="4"/>
  <c r="N11" i="4" s="1"/>
  <c r="N12" i="4"/>
  <c r="M14" i="4"/>
  <c r="M10" i="4"/>
  <c r="M11" i="4" s="1"/>
  <c r="M12" i="4"/>
  <c r="L14" i="4"/>
  <c r="L10" i="4"/>
  <c r="L11" i="4" s="1"/>
  <c r="L12" i="4"/>
  <c r="D14" i="4"/>
  <c r="D12" i="4"/>
  <c r="D10" i="4"/>
  <c r="D11" i="4" s="1"/>
  <c r="G12" i="4"/>
  <c r="G14" i="4"/>
  <c r="G10" i="4"/>
  <c r="G11" i="4" s="1"/>
  <c r="F14" i="4"/>
  <c r="F10" i="4"/>
  <c r="F11" i="4" s="1"/>
  <c r="F12" i="4"/>
  <c r="E14" i="4"/>
  <c r="E10" i="4"/>
  <c r="E11" i="4" s="1"/>
  <c r="E12" i="4"/>
  <c r="K14" i="4"/>
  <c r="K10" i="4"/>
  <c r="K11" i="4" s="1"/>
  <c r="K12" i="4"/>
  <c r="I12" i="4"/>
  <c r="I14" i="4"/>
  <c r="I10" i="4"/>
  <c r="I11" i="4" s="1"/>
  <c r="J14" i="4"/>
  <c r="J12" i="4"/>
  <c r="J10" i="4"/>
  <c r="J11" i="4" s="1"/>
  <c r="H12" i="4"/>
  <c r="H10" i="4"/>
  <c r="H11" i="4" s="1"/>
  <c r="H14" i="4"/>
  <c r="E7" i="2"/>
  <c r="D13" i="2"/>
  <c r="C13" i="2"/>
  <c r="AW11" i="1"/>
  <c r="AU13" i="1"/>
  <c r="AV12" i="1" s="1"/>
  <c r="BC1" i="1"/>
  <c r="AU6" i="1"/>
  <c r="AV5" i="1" s="1"/>
  <c r="AW12" i="1"/>
  <c r="AU14" i="1"/>
  <c r="AV13" i="1" s="1"/>
  <c r="AW13" i="1"/>
  <c r="AU15" i="1"/>
  <c r="AV14" i="1" s="1"/>
  <c r="AW6" i="1"/>
  <c r="AU8" i="1"/>
  <c r="AV7" i="1" s="1"/>
  <c r="AW14" i="1"/>
  <c r="AW15" i="1"/>
  <c r="AW5" i="1"/>
  <c r="AW7" i="1"/>
  <c r="AU9" i="1"/>
  <c r="AV8" i="1" s="1"/>
  <c r="AU7" i="1"/>
  <c r="AV6" i="1" s="1"/>
  <c r="AW8" i="1"/>
  <c r="AU10" i="1"/>
  <c r="AV9" i="1" s="1"/>
  <c r="AW9" i="1"/>
  <c r="AA15" i="1"/>
  <c r="AB14" i="1" s="1"/>
  <c r="AI1" i="1"/>
  <c r="AC15" i="1"/>
  <c r="AA7" i="1"/>
  <c r="AB6" i="1" s="1"/>
  <c r="AA9" i="1"/>
  <c r="AB8" i="1" s="1"/>
  <c r="AA11" i="1"/>
  <c r="AB10" i="1" s="1"/>
  <c r="AA13" i="1"/>
  <c r="AB12" i="1" s="1"/>
  <c r="AC7" i="1"/>
  <c r="AC9" i="1"/>
  <c r="AC11" i="1"/>
  <c r="AC13" i="1"/>
  <c r="AA6" i="1"/>
  <c r="AB5" i="1" s="1"/>
  <c r="AA8" i="1"/>
  <c r="AB7" i="1" s="1"/>
  <c r="AA12" i="1"/>
  <c r="AB11" i="1" s="1"/>
  <c r="AA14" i="1"/>
  <c r="AB13" i="1" s="1"/>
  <c r="AA10" i="1"/>
  <c r="AB9" i="1" s="1"/>
  <c r="V11" i="1"/>
  <c r="W10" i="1" s="1"/>
  <c r="V6" i="1"/>
  <c r="W5" i="1" s="1"/>
  <c r="V14" i="1"/>
  <c r="W13" i="1" s="1"/>
  <c r="X7" i="1"/>
  <c r="X10" i="1"/>
  <c r="X13" i="1"/>
  <c r="X8" i="1"/>
  <c r="V9" i="1"/>
  <c r="W8" i="1" s="1"/>
  <c r="X11" i="1"/>
  <c r="V13" i="1"/>
  <c r="W12" i="1" s="1"/>
  <c r="V8" i="1"/>
  <c r="W7" i="1" s="1"/>
  <c r="X5" i="1"/>
  <c r="X6" i="1"/>
  <c r="X14" i="1"/>
  <c r="V7" i="1"/>
  <c r="W6" i="1" s="1"/>
  <c r="X9" i="1"/>
  <c r="V15" i="1"/>
  <c r="W14" i="1" s="1"/>
  <c r="V12" i="1"/>
  <c r="W11" i="1" s="1"/>
  <c r="V10" i="1"/>
  <c r="W9" i="1" s="1"/>
  <c r="X12" i="1"/>
  <c r="S7" i="1"/>
  <c r="Q13" i="1"/>
  <c r="R12" i="1" s="1"/>
  <c r="Q15" i="1"/>
  <c r="R14" i="1" s="1"/>
  <c r="S12" i="1"/>
  <c r="Q8" i="1"/>
  <c r="R7" i="1" s="1"/>
  <c r="S10" i="1"/>
  <c r="Q7" i="1"/>
  <c r="R6" i="1" s="1"/>
  <c r="S5" i="1"/>
  <c r="S13" i="1"/>
  <c r="Q6" i="1"/>
  <c r="R5" i="1" s="1"/>
  <c r="S8" i="1"/>
  <c r="Q14" i="1"/>
  <c r="R13" i="1" s="1"/>
  <c r="S9" i="1"/>
  <c r="Q10" i="1"/>
  <c r="R9" i="1" s="1"/>
  <c r="Q11" i="1"/>
  <c r="R10" i="1" s="1"/>
  <c r="Q9" i="1"/>
  <c r="R8" i="1" s="1"/>
  <c r="S11" i="1"/>
  <c r="S15" i="1"/>
  <c r="S6" i="1"/>
  <c r="Q12" i="1"/>
  <c r="R11" i="1" s="1"/>
  <c r="N7" i="1"/>
  <c r="L13" i="1"/>
  <c r="M12" i="1" s="1"/>
  <c r="L8" i="1"/>
  <c r="M7" i="1" s="1"/>
  <c r="N10" i="1"/>
  <c r="N12" i="1"/>
  <c r="N5" i="1"/>
  <c r="L11" i="1"/>
  <c r="M10" i="1" s="1"/>
  <c r="L6" i="1"/>
  <c r="M5" i="1" s="1"/>
  <c r="N8" i="1"/>
  <c r="L14" i="1"/>
  <c r="M13" i="1" s="1"/>
  <c r="N15" i="1"/>
  <c r="N13" i="1"/>
  <c r="L9" i="1"/>
  <c r="M8" i="1" s="1"/>
  <c r="D18" i="2" l="1"/>
  <c r="D16" i="2"/>
  <c r="D14" i="2"/>
  <c r="D15" i="2" s="1"/>
  <c r="C16" i="2"/>
  <c r="C14" i="2"/>
  <c r="C15" i="2" s="1"/>
  <c r="C17" i="2" s="1"/>
  <c r="C18" i="2"/>
  <c r="H13" i="4"/>
  <c r="H15" i="4" s="1"/>
  <c r="H17" i="4" s="1"/>
  <c r="K13" i="4"/>
  <c r="K15" i="4" s="1"/>
  <c r="K17" i="4" s="1"/>
  <c r="J13" i="4"/>
  <c r="J15" i="4" s="1"/>
  <c r="J17" i="4" s="1"/>
  <c r="L13" i="4"/>
  <c r="L15" i="4" s="1"/>
  <c r="L17" i="4" s="1"/>
  <c r="M13" i="4"/>
  <c r="M15" i="4" s="1"/>
  <c r="M17" i="4" s="1"/>
  <c r="E13" i="4"/>
  <c r="E15" i="4" s="1"/>
  <c r="E17" i="4" s="1"/>
  <c r="G13" i="4"/>
  <c r="G15" i="4" s="1"/>
  <c r="G17" i="4" s="1"/>
  <c r="I13" i="4"/>
  <c r="I15" i="4" s="1"/>
  <c r="I17" i="4" s="1"/>
  <c r="D13" i="4"/>
  <c r="D15" i="4" s="1"/>
  <c r="D17" i="4" s="1"/>
  <c r="N13" i="4"/>
  <c r="N15" i="4" s="1"/>
  <c r="N17" i="4" s="1"/>
  <c r="F13" i="4"/>
  <c r="F15" i="4" s="1"/>
  <c r="F17" i="4" s="1"/>
  <c r="C14" i="4"/>
  <c r="C12" i="4"/>
  <c r="C10" i="4"/>
  <c r="C11" i="4" s="1"/>
  <c r="F7" i="2"/>
  <c r="E13" i="2"/>
  <c r="BB14" i="1"/>
  <c r="AZ8" i="1"/>
  <c r="BA7" i="1" s="1"/>
  <c r="BB6" i="1"/>
  <c r="BB5" i="1"/>
  <c r="BB15" i="1"/>
  <c r="BB13" i="1"/>
  <c r="AZ7" i="1"/>
  <c r="BA6" i="1" s="1"/>
  <c r="AZ9" i="1"/>
  <c r="BA8" i="1" s="1"/>
  <c r="AZ15" i="1"/>
  <c r="BA14" i="1" s="1"/>
  <c r="AZ14" i="1"/>
  <c r="BA13" i="1" s="1"/>
  <c r="BB12" i="1"/>
  <c r="AZ6" i="1"/>
  <c r="BA5" i="1" s="1"/>
  <c r="AZ13" i="1"/>
  <c r="BA12" i="1" s="1"/>
  <c r="BB11" i="1"/>
  <c r="AZ12" i="1"/>
  <c r="BA11" i="1" s="1"/>
  <c r="BB10" i="1"/>
  <c r="BH1" i="1"/>
  <c r="AZ11" i="1"/>
  <c r="BA10" i="1" s="1"/>
  <c r="BB9" i="1"/>
  <c r="AZ10" i="1"/>
  <c r="BA9" i="1" s="1"/>
  <c r="BB8" i="1"/>
  <c r="BB7" i="1"/>
  <c r="AH13" i="1"/>
  <c r="AH11" i="1"/>
  <c r="AH9" i="1"/>
  <c r="AH7" i="1"/>
  <c r="AF10" i="1"/>
  <c r="AG9" i="1" s="1"/>
  <c r="AH15" i="1"/>
  <c r="AF13" i="1"/>
  <c r="AG12" i="1" s="1"/>
  <c r="AF11" i="1"/>
  <c r="AG10" i="1" s="1"/>
  <c r="AF9" i="1"/>
  <c r="AG8" i="1" s="1"/>
  <c r="AF7" i="1"/>
  <c r="AG6" i="1" s="1"/>
  <c r="AF15" i="1"/>
  <c r="AG14" i="1" s="1"/>
  <c r="AN1" i="1"/>
  <c r="AF6" i="1"/>
  <c r="AG5" i="1" s="1"/>
  <c r="AH14" i="1"/>
  <c r="AH12" i="1"/>
  <c r="AH10" i="1"/>
  <c r="AH8" i="1"/>
  <c r="AH6" i="1"/>
  <c r="AF14" i="1"/>
  <c r="AG13" i="1" s="1"/>
  <c r="AF12" i="1"/>
  <c r="AG11" i="1" s="1"/>
  <c r="AF8" i="1"/>
  <c r="AG7" i="1" s="1"/>
  <c r="AH5" i="1"/>
  <c r="C19" i="2" l="1"/>
  <c r="D17" i="2"/>
  <c r="D19" i="2" s="1"/>
  <c r="E14" i="2"/>
  <c r="E15" i="2" s="1"/>
  <c r="E18" i="2"/>
  <c r="E16" i="2"/>
  <c r="E17" i="2" s="1"/>
  <c r="E19" i="2" s="1"/>
  <c r="E20" i="2"/>
  <c r="C13" i="4"/>
  <c r="C15" i="4" s="1"/>
  <c r="G7" i="2"/>
  <c r="F13" i="2"/>
  <c r="BE15" i="1"/>
  <c r="BF14" i="1" s="1"/>
  <c r="BE13" i="1"/>
  <c r="BF12" i="1" s="1"/>
  <c r="BG11" i="1"/>
  <c r="BE12" i="1"/>
  <c r="BF11" i="1" s="1"/>
  <c r="BG10" i="1"/>
  <c r="BE6" i="1"/>
  <c r="BF5" i="1" s="1"/>
  <c r="BE11" i="1"/>
  <c r="BF10" i="1" s="1"/>
  <c r="BG9" i="1"/>
  <c r="BE10" i="1"/>
  <c r="BF9" i="1" s="1"/>
  <c r="BG8" i="1"/>
  <c r="BE9" i="1"/>
  <c r="BF8" i="1" s="1"/>
  <c r="BG7" i="1"/>
  <c r="BE14" i="1"/>
  <c r="BF13" i="1" s="1"/>
  <c r="BG14" i="1"/>
  <c r="BE8" i="1"/>
  <c r="BF7" i="1" s="1"/>
  <c r="BG6" i="1"/>
  <c r="BG13" i="1"/>
  <c r="BE7" i="1"/>
  <c r="BF6" i="1" s="1"/>
  <c r="BG5" i="1"/>
  <c r="BG15" i="1"/>
  <c r="BG12" i="1"/>
  <c r="AM15" i="1"/>
  <c r="AK15" i="1"/>
  <c r="AL14" i="1" s="1"/>
  <c r="AM14" i="1"/>
  <c r="AM12" i="1"/>
  <c r="AM10" i="1"/>
  <c r="AM8" i="1"/>
  <c r="AM6" i="1"/>
  <c r="AK13" i="1"/>
  <c r="AL12" i="1" s="1"/>
  <c r="AS1" i="1"/>
  <c r="AM13" i="1"/>
  <c r="AK9" i="1"/>
  <c r="AL8" i="1" s="1"/>
  <c r="AK14" i="1"/>
  <c r="AL13" i="1" s="1"/>
  <c r="AK12" i="1"/>
  <c r="AL11" i="1" s="1"/>
  <c r="AK10" i="1"/>
  <c r="AL9" i="1" s="1"/>
  <c r="AK8" i="1"/>
  <c r="AL7" i="1" s="1"/>
  <c r="AK6" i="1"/>
  <c r="AL5" i="1" s="1"/>
  <c r="AK7" i="1"/>
  <c r="AL6" i="1" s="1"/>
  <c r="AM5" i="1"/>
  <c r="AM11" i="1"/>
  <c r="AM9" i="1"/>
  <c r="AM7" i="1"/>
  <c r="AK11" i="1"/>
  <c r="AL10" i="1" s="1"/>
  <c r="C17" i="4" l="1"/>
  <c r="H24" i="4" s="1"/>
  <c r="H22" i="4"/>
  <c r="D20" i="2"/>
  <c r="F18" i="2"/>
  <c r="F16" i="2"/>
  <c r="F14" i="2"/>
  <c r="F15" i="2" s="1"/>
  <c r="F20" i="2"/>
  <c r="H7" i="2"/>
  <c r="G13" i="2"/>
  <c r="AP14" i="1"/>
  <c r="AQ13" i="1" s="1"/>
  <c r="AP12" i="1"/>
  <c r="AQ11" i="1" s="1"/>
  <c r="AP10" i="1"/>
  <c r="AQ9" i="1" s="1"/>
  <c r="AP8" i="1"/>
  <c r="AQ7" i="1" s="1"/>
  <c r="AP6" i="1"/>
  <c r="AQ5" i="1" s="1"/>
  <c r="AR12" i="1"/>
  <c r="AR10" i="1"/>
  <c r="AR15" i="1"/>
  <c r="AR6" i="1"/>
  <c r="AR13" i="1"/>
  <c r="AR11" i="1"/>
  <c r="AR9" i="1"/>
  <c r="AR7" i="1"/>
  <c r="AR5" i="1"/>
  <c r="AR14" i="1"/>
  <c r="AR8" i="1"/>
  <c r="AP13" i="1"/>
  <c r="AQ12" i="1" s="1"/>
  <c r="AP11" i="1"/>
  <c r="AQ10" i="1" s="1"/>
  <c r="AP9" i="1"/>
  <c r="AQ8" i="1" s="1"/>
  <c r="AP7" i="1"/>
  <c r="AQ6" i="1" s="1"/>
  <c r="AP15" i="1"/>
  <c r="AQ14" i="1" s="1"/>
  <c r="G14" i="2" l="1"/>
  <c r="G16" i="2"/>
  <c r="G15" i="2"/>
  <c r="G18" i="2"/>
  <c r="F17" i="2"/>
  <c r="F19" i="2"/>
  <c r="I7" i="2"/>
  <c r="H13" i="2"/>
  <c r="H18" i="2" l="1"/>
  <c r="H16" i="2"/>
  <c r="H14" i="2"/>
  <c r="H15" i="2" s="1"/>
  <c r="G20" i="2"/>
  <c r="G17" i="2"/>
  <c r="G19" i="2" s="1"/>
  <c r="J7" i="2"/>
  <c r="I13" i="2"/>
  <c r="H20" i="2" l="1"/>
  <c r="H17" i="2"/>
  <c r="I18" i="2"/>
  <c r="I16" i="2"/>
  <c r="I14" i="2"/>
  <c r="I15" i="2" s="1"/>
  <c r="I17" i="2" s="1"/>
  <c r="H19" i="2"/>
  <c r="K7" i="2"/>
  <c r="J13" i="2"/>
  <c r="J14" i="2" l="1"/>
  <c r="J15" i="2" s="1"/>
  <c r="J16" i="2"/>
  <c r="J18" i="2"/>
  <c r="I20" i="2"/>
  <c r="I19" i="2"/>
  <c r="L7" i="2"/>
  <c r="K13" i="2"/>
  <c r="K18" i="2" l="1"/>
  <c r="K16" i="2"/>
  <c r="K14" i="2"/>
  <c r="K15" i="2" s="1"/>
  <c r="J20" i="2"/>
  <c r="J17" i="2"/>
  <c r="J19" i="2" s="1"/>
  <c r="M7" i="2"/>
  <c r="L13" i="2"/>
  <c r="K17" i="2" l="1"/>
  <c r="K19" i="2" s="1"/>
  <c r="K20" i="2"/>
  <c r="L16" i="2"/>
  <c r="L14" i="2"/>
  <c r="L15" i="2" s="1"/>
  <c r="L18" i="2"/>
  <c r="N7" i="2"/>
  <c r="M13" i="2"/>
  <c r="L17" i="2" l="1"/>
  <c r="L19" i="2" s="1"/>
  <c r="L20" i="2"/>
  <c r="M18" i="2"/>
  <c r="M16" i="2"/>
  <c r="M14" i="2"/>
  <c r="M15" i="2" s="1"/>
  <c r="C25" i="2"/>
  <c r="C29" i="2" s="1"/>
  <c r="N13" i="2"/>
  <c r="M20" i="2" l="1"/>
  <c r="N18" i="2"/>
  <c r="N16" i="2"/>
  <c r="N14" i="2"/>
  <c r="N15" i="2" s="1"/>
  <c r="M17" i="2"/>
  <c r="M19" i="2" s="1"/>
  <c r="N17" i="2" l="1"/>
  <c r="N20" i="2"/>
  <c r="N19" i="2"/>
  <c r="C30" i="2" l="1"/>
</calcChain>
</file>

<file path=xl/sharedStrings.xml><?xml version="1.0" encoding="utf-8"?>
<sst xmlns="http://schemas.openxmlformats.org/spreadsheetml/2006/main" count="237" uniqueCount="115">
  <si>
    <t>TARIFA ISR MENSUAL</t>
  </si>
  <si>
    <t>Límite Inferior</t>
  </si>
  <si>
    <t>Límite Superior</t>
  </si>
  <si>
    <t>Cuota Fija</t>
  </si>
  <si>
    <t>% sobre excente de límite inferior</t>
  </si>
  <si>
    <t>En adelante</t>
  </si>
  <si>
    <t>TARIFA ISR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</si>
  <si>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</si>
  <si>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</si>
  <si>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</si>
  <si>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</si>
  <si>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</si>
  <si>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</si>
  <si>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</si>
  <si>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</si>
  <si>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</si>
  <si>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</si>
  <si>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</si>
  <si>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</si>
  <si>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del contribuyente</t>
  </si>
  <si>
    <t>RFC</t>
  </si>
  <si>
    <t>Jaime Alberto Flores Sandoval</t>
  </si>
  <si>
    <t>FOSJ9201278B7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</si>
  <si>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</si>
  <si>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</si>
  <si>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</si>
  <si>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</si>
  <si>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</si>
  <si>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</si>
  <si>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</si>
  <si>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</si>
  <si>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</si>
  <si>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</si>
  <si>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</si>
  <si>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</si>
  <si>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</si>
  <si>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Cédula para la determinación de pagos provisionales por actividad empresarial  o servicios profesionales 2020</t>
  </si>
  <si>
    <t>Ingresos propios de la actividad del mes</t>
  </si>
  <si>
    <t>Ingresos acumulados</t>
  </si>
  <si>
    <t>Deducciones autorizadas del mes</t>
  </si>
  <si>
    <t>Deducciones acumuladas</t>
  </si>
  <si>
    <t>PTU pagada en el mes</t>
  </si>
  <si>
    <t>PTU pagada acumulada</t>
  </si>
  <si>
    <t>Pérdidas fiscales</t>
  </si>
  <si>
    <t>Resultado (Base gravable)</t>
  </si>
  <si>
    <t>Limite inferior</t>
  </si>
  <si>
    <t>Excedente del limite inferior</t>
  </si>
  <si>
    <t>% sobre el excedente</t>
  </si>
  <si>
    <t>Impuesto marginal</t>
  </si>
  <si>
    <t>Cuota fija</t>
  </si>
  <si>
    <t>ISR pago provisional</t>
  </si>
  <si>
    <t>ISR del mes</t>
  </si>
  <si>
    <t>Pagos provisionales anteriores</t>
  </si>
  <si>
    <t>Pago provisional del mes</t>
  </si>
  <si>
    <t>Cédula para la determinación de pagos provisionales arrendamiento 2020</t>
  </si>
  <si>
    <t>Ingresos del mes</t>
  </si>
  <si>
    <t>Deducciones del mes</t>
  </si>
  <si>
    <t>Deducción opcional (ciega)</t>
  </si>
  <si>
    <t>Base gravable</t>
  </si>
  <si>
    <t>UMA</t>
  </si>
  <si>
    <t>Deducción ordinaria</t>
  </si>
  <si>
    <t>Deducción opcional</t>
  </si>
  <si>
    <t>Retención 10% arrendamiento PM</t>
  </si>
  <si>
    <t>Importe a pagar del mes</t>
  </si>
  <si>
    <t>Total de retenciones del ejercicio</t>
  </si>
  <si>
    <t>Datos del ejercicio</t>
  </si>
  <si>
    <t>Ingresos</t>
  </si>
  <si>
    <t>Deducciones</t>
  </si>
  <si>
    <t>Pagos provisionales</t>
  </si>
  <si>
    <t>Pagos efectivamente enterados</t>
  </si>
  <si>
    <t>Datos del ejercicio:</t>
  </si>
  <si>
    <t>PTU pagada</t>
  </si>
  <si>
    <t>Retención de PM</t>
  </si>
  <si>
    <t>Retención 10% PM del mes</t>
  </si>
  <si>
    <t>INPC 2018 = 100</t>
  </si>
  <si>
    <t>Año</t>
  </si>
  <si>
    <t>Venta de inmueble</t>
  </si>
  <si>
    <t>Fecha de enajenación</t>
  </si>
  <si>
    <t>Costo comprobado de adquisición terreno</t>
  </si>
  <si>
    <t>Gastos notariales y de escrituración</t>
  </si>
  <si>
    <t>Fecha de adquisición del inmueble</t>
  </si>
  <si>
    <t>Años transcurridos entre enajenación y venta</t>
  </si>
  <si>
    <t>% de depreciación anual de construcción</t>
  </si>
  <si>
    <t>Costo comprobado de adquisición construcción</t>
  </si>
  <si>
    <t>Valor de la construcción</t>
  </si>
  <si>
    <t>Tasa de depreciación anual</t>
  </si>
  <si>
    <t>Depreciación anual</t>
  </si>
  <si>
    <t>Depreciación acumulada</t>
  </si>
  <si>
    <t>Importe pendiente de depreciar</t>
  </si>
  <si>
    <t>Costo comprobado de adquisición histórico</t>
  </si>
  <si>
    <t>INPC fecha de adquisición</t>
  </si>
  <si>
    <t>INPC mes anterior al de la enajenación</t>
  </si>
  <si>
    <t>FAC</t>
  </si>
  <si>
    <t>Costo comprobado de adquisición actualizado</t>
  </si>
  <si>
    <t>Determinación de la ganancia en la enajenación:</t>
  </si>
  <si>
    <t>Precio de enajenación</t>
  </si>
  <si>
    <t>Ganancia en la enajenación del inmueble</t>
  </si>
  <si>
    <t>Base para el pago provisional:</t>
  </si>
  <si>
    <t>Años transcurridos entre adquisición y venta</t>
  </si>
  <si>
    <t>Base del pago provisional</t>
  </si>
  <si>
    <t>ISR según tarifa</t>
  </si>
  <si>
    <t>Número de años</t>
  </si>
  <si>
    <t>Determinación del impuesto anual.</t>
  </si>
  <si>
    <t>a) Ingresos por salarios y conceptos asimilados.</t>
  </si>
  <si>
    <t>c) Ingresos por enajenación de bienes.</t>
  </si>
  <si>
    <t>d) Ingresos por adquisición de bienes.</t>
  </si>
  <si>
    <t>e) Ingresos por intereses.</t>
  </si>
  <si>
    <t>g) Demás ingresos que obtengan las personas físicas.</t>
  </si>
  <si>
    <t xml:space="preserve">b) Ingresos por arrendamiento </t>
  </si>
  <si>
    <t xml:space="preserve">f) Ingresos por dividendos </t>
  </si>
  <si>
    <t>( + )</t>
  </si>
  <si>
    <t>Utilidad gravable actividades empresariales y profesionales</t>
  </si>
  <si>
    <t>( - )</t>
  </si>
  <si>
    <t>Deducciones personales</t>
  </si>
  <si>
    <t>Estímulo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</si>
</sst>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;;;"/>
    <numFmt numFmtId="166" formatCode="0.0000"/>
    <numFmt numFmtId="169" formatCode="_-* #,##0.00000_-;\-* #,##0.000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rgb="FF555555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666666"/>
      <name val="Inherit"/>
    </font>
  </fonts>
  <fills count="10">
    <fill>
      <patternFill patternType="none"/>
    </fill>
    <fill>
      <patternFill patternType="gray125"/>
    </fill>
    <fill>
      <patternFill patternType="solid">
        <fgColor rgb="FFE6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E6EEE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0F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43" fontId="3" fillId="0" borderId="1" xfId="3" applyFont="1" applyBorder="1" applyAlignment="1">
      <alignment horizontal="center" vertical="center" wrapText="1"/>
    </xf>
    <xf numFmtId="43" fontId="4" fillId="2" borderId="1" xfId="3" applyFont="1" applyFill="1" applyBorder="1" applyAlignment="1">
      <alignment horizontal="left" vertical="center" wrapText="1"/>
    </xf>
    <xf numFmtId="43" fontId="4" fillId="3" borderId="1" xfId="3" applyFont="1" applyFill="1" applyBorder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top" wrapText="1"/>
    </xf>
    <xf numFmtId="43" fontId="4" fillId="4" borderId="1" xfId="3" applyFont="1" applyFill="1" applyBorder="1" applyAlignment="1">
      <alignment vertical="top" wrapText="1"/>
    </xf>
    <xf numFmtId="10" fontId="4" fillId="4" borderId="1" xfId="2" applyNumberFormat="1" applyFont="1" applyFill="1" applyBorder="1" applyAlignment="1">
      <alignment horizontal="center" vertical="top" wrapText="1"/>
    </xf>
    <xf numFmtId="43" fontId="0" fillId="0" borderId="0" xfId="0" applyNumberFormat="1"/>
    <xf numFmtId="0" fontId="5" fillId="0" borderId="1" xfId="0" applyFont="1" applyBorder="1" applyAlignment="1">
      <alignment horizontal="center"/>
    </xf>
    <xf numFmtId="43" fontId="4" fillId="5" borderId="1" xfId="1" applyFont="1" applyFill="1" applyBorder="1" applyAlignment="1">
      <alignment horizontal="left" vertical="center" wrapText="1"/>
    </xf>
    <xf numFmtId="43" fontId="4" fillId="6" borderId="1" xfId="1" applyFont="1" applyFill="1" applyBorder="1" applyAlignment="1">
      <alignment vertical="top" wrapText="1"/>
    </xf>
    <xf numFmtId="10" fontId="4" fillId="6" borderId="1" xfId="2" applyNumberFormat="1" applyFont="1" applyFill="1" applyBorder="1" applyAlignment="1">
      <alignment horizontal="center" vertical="top" wrapText="1"/>
    </xf>
    <xf numFmtId="43" fontId="4" fillId="7" borderId="1" xfId="1" applyFont="1" applyFill="1" applyBorder="1" applyAlignment="1">
      <alignment vertical="top" wrapText="1"/>
    </xf>
    <xf numFmtId="10" fontId="4" fillId="7" borderId="1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3" fontId="0" fillId="0" borderId="0" xfId="1" applyFont="1"/>
    <xf numFmtId="43" fontId="0" fillId="0" borderId="1" xfId="1" applyFont="1" applyBorder="1"/>
    <xf numFmtId="43" fontId="7" fillId="0" borderId="0" xfId="1" applyFont="1" applyAlignment="1">
      <alignment vertical="center" wrapText="1"/>
    </xf>
    <xf numFmtId="43" fontId="7" fillId="0" borderId="0" xfId="1" applyFont="1"/>
    <xf numFmtId="43" fontId="7" fillId="0" borderId="1" xfId="1" applyFont="1" applyBorder="1" applyAlignment="1">
      <alignment horizontal="center"/>
    </xf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wrapText="1"/>
    </xf>
    <xf numFmtId="43" fontId="7" fillId="0" borderId="1" xfId="1" applyFont="1" applyBorder="1" applyAlignment="1">
      <alignment vertical="center" wrapText="1"/>
    </xf>
    <xf numFmtId="43" fontId="7" fillId="0" borderId="1" xfId="1" applyFont="1" applyBorder="1"/>
    <xf numFmtId="43" fontId="8" fillId="0" borderId="4" xfId="1" applyFont="1" applyBorder="1" applyAlignment="1">
      <alignment horizontal="center"/>
    </xf>
    <xf numFmtId="43" fontId="8" fillId="0" borderId="5" xfId="1" applyFont="1" applyBorder="1" applyAlignment="1">
      <alignment horizontal="center"/>
    </xf>
    <xf numFmtId="43" fontId="8" fillId="0" borderId="6" xfId="1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10" fontId="7" fillId="0" borderId="1" xfId="2" applyNumberFormat="1" applyFont="1" applyBorder="1" applyAlignment="1">
      <alignment vertical="center" wrapText="1"/>
    </xf>
    <xf numFmtId="43" fontId="7" fillId="0" borderId="0" xfId="1" applyFont="1" applyAlignment="1">
      <alignment vertical="center"/>
    </xf>
    <xf numFmtId="165" fontId="7" fillId="0" borderId="0" xfId="1" applyNumberFormat="1" applyFont="1"/>
    <xf numFmtId="43" fontId="7" fillId="0" borderId="1" xfId="1" applyFont="1" applyBorder="1" applyAlignment="1">
      <alignment horizontal="center"/>
    </xf>
    <xf numFmtId="43" fontId="7" fillId="0" borderId="1" xfId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8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9" borderId="1" xfId="0" applyFont="1" applyFill="1" applyBorder="1" applyAlignment="1">
      <alignment horizontal="center" vertical="top" wrapText="1"/>
    </xf>
    <xf numFmtId="166" fontId="10" fillId="0" borderId="1" xfId="0" applyNumberFormat="1" applyFont="1" applyBorder="1" applyAlignment="1">
      <alignment horizontal="center" vertical="top" wrapText="1"/>
    </xf>
    <xf numFmtId="15" fontId="0" fillId="0" borderId="0" xfId="1" applyNumberFormat="1" applyFont="1"/>
    <xf numFmtId="9" fontId="0" fillId="0" borderId="0" xfId="1" applyNumberFormat="1" applyFont="1"/>
    <xf numFmtId="169" fontId="0" fillId="0" borderId="0" xfId="1" applyNumberFormat="1" applyFont="1"/>
    <xf numFmtId="43" fontId="2" fillId="0" borderId="0" xfId="1" applyFont="1"/>
    <xf numFmtId="43" fontId="8" fillId="0" borderId="1" xfId="1" applyFont="1" applyBorder="1"/>
    <xf numFmtId="43" fontId="8" fillId="0" borderId="1" xfId="1" applyFont="1" applyBorder="1" applyAlignment="1">
      <alignment vertical="center" wrapText="1"/>
    </xf>
    <xf numFmtId="0" fontId="2" fillId="0" borderId="0" xfId="0" applyFont="1"/>
  </cellXfs>
  <cellStyles count="4">
    <cellStyle name="Millares" xfId="1" builtinId="3"/>
    <cellStyle name="Millares 2" xfId="3" xr:uid="{E8FE2D56-8CD2-4A30-9E0A-A154BA93E706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31" fmlaLink="$A$1" fmlaRange="$B$35:$B$36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17</xdr:row>
          <xdr:rowOff>152400</xdr:rowOff>
        </xdr:from>
        <xdr:to>
          <xdr:col>1</xdr:col>
          <xdr:colOff>1803400</xdr:colOff>
          <xdr:row>20</xdr:row>
          <xdr:rowOff>6350</xdr:rowOff>
        </xdr:to>
        <xdr:sp macro="" textlink="">
          <xdr:nvSpPr>
            <xdr:cNvPr id="4100" name="List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E8B18-BF6F-464A-8910-6A3155F89182}">
  <dimension ref="B2:N13"/>
  <sheetViews>
    <sheetView workbookViewId="0">
      <selection activeCell="B4" sqref="B4:N13"/>
    </sheetView>
  </sheetViews>
  <sheetFormatPr baseColWidth="10" defaultRowHeight="14.5"/>
  <sheetData>
    <row r="2" spans="2:14">
      <c r="B2" s="39" t="s">
        <v>74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>
      <c r="B3" s="41" t="s">
        <v>75</v>
      </c>
      <c r="C3" s="41" t="s">
        <v>24</v>
      </c>
      <c r="D3" s="41" t="s">
        <v>25</v>
      </c>
      <c r="E3" s="41" t="s">
        <v>26</v>
      </c>
      <c r="F3" s="41" t="s">
        <v>27</v>
      </c>
      <c r="G3" s="41" t="s">
        <v>28</v>
      </c>
      <c r="H3" s="41" t="s">
        <v>29</v>
      </c>
      <c r="I3" s="41" t="s">
        <v>30</v>
      </c>
      <c r="J3" s="41" t="s">
        <v>31</v>
      </c>
      <c r="K3" s="41" t="s">
        <v>32</v>
      </c>
      <c r="L3" s="41" t="s">
        <v>33</v>
      </c>
      <c r="M3" s="41" t="s">
        <v>34</v>
      </c>
      <c r="N3" s="41" t="s">
        <v>35</v>
      </c>
    </row>
    <row r="4" spans="2:14">
      <c r="B4" s="42">
        <v>2011</v>
      </c>
      <c r="C4" s="43">
        <v>75.295991000000001</v>
      </c>
      <c r="D4" s="43">
        <v>75.578460000000007</v>
      </c>
      <c r="E4" s="43">
        <v>75.723450999999997</v>
      </c>
      <c r="F4" s="43">
        <v>75.717440999999994</v>
      </c>
      <c r="G4" s="43">
        <v>75.159263999999993</v>
      </c>
      <c r="H4" s="43">
        <v>75.155507999999998</v>
      </c>
      <c r="I4" s="43">
        <v>75.516107000000005</v>
      </c>
      <c r="J4" s="43">
        <v>75.635554999999997</v>
      </c>
      <c r="K4" s="43">
        <v>75.821112999999997</v>
      </c>
      <c r="L4" s="43">
        <v>76.332712000000001</v>
      </c>
      <c r="M4" s="43">
        <v>77.158332999999999</v>
      </c>
      <c r="N4" s="43">
        <v>77.792384999999996</v>
      </c>
    </row>
    <row r="5" spans="2:14">
      <c r="B5" s="43">
        <v>2012</v>
      </c>
      <c r="C5" s="43">
        <v>78.343048999999993</v>
      </c>
      <c r="D5" s="43">
        <v>78.502313999999998</v>
      </c>
      <c r="E5" s="43">
        <v>78.547388999999995</v>
      </c>
      <c r="F5" s="43">
        <v>78.300979999999996</v>
      </c>
      <c r="G5" s="43">
        <v>78.053819000000004</v>
      </c>
      <c r="H5" s="43">
        <v>78.413667000000004</v>
      </c>
      <c r="I5" s="43">
        <v>78.853897000000003</v>
      </c>
      <c r="J5" s="43">
        <v>79.090540000000004</v>
      </c>
      <c r="K5" s="43">
        <v>79.439119000000005</v>
      </c>
      <c r="L5" s="43">
        <v>79.841036000000003</v>
      </c>
      <c r="M5" s="43">
        <v>80.383437000000001</v>
      </c>
      <c r="N5" s="43">
        <v>80.568242999999995</v>
      </c>
    </row>
    <row r="6" spans="2:14">
      <c r="B6" s="43">
        <v>2013</v>
      </c>
      <c r="C6" s="43">
        <v>80.892781999999997</v>
      </c>
      <c r="D6" s="43">
        <v>81.290942999999999</v>
      </c>
      <c r="E6" s="43">
        <v>81.887433000000001</v>
      </c>
      <c r="F6" s="43">
        <v>81.941523000000004</v>
      </c>
      <c r="G6" s="43">
        <v>81.668819999999997</v>
      </c>
      <c r="H6" s="43">
        <v>81.619237999999996</v>
      </c>
      <c r="I6" s="43">
        <v>81.592192999999995</v>
      </c>
      <c r="J6" s="43">
        <v>81.824327999999994</v>
      </c>
      <c r="K6" s="43">
        <v>82.132339999999999</v>
      </c>
      <c r="L6" s="43">
        <v>82.522987999999998</v>
      </c>
      <c r="M6" s="43">
        <v>83.292265</v>
      </c>
      <c r="N6" s="43">
        <v>83.770058000000006</v>
      </c>
    </row>
    <row r="7" spans="2:14">
      <c r="B7" s="43">
        <v>2014</v>
      </c>
      <c r="C7" s="43">
        <v>84.519052000000002</v>
      </c>
      <c r="D7" s="43">
        <v>84.733157000000006</v>
      </c>
      <c r="E7" s="43">
        <v>84.965292000000005</v>
      </c>
      <c r="F7" s="43">
        <v>84.806779000000006</v>
      </c>
      <c r="G7" s="43">
        <v>84.535578999999998</v>
      </c>
      <c r="H7" s="43">
        <v>84.682072000000005</v>
      </c>
      <c r="I7" s="43">
        <v>84.914958999999996</v>
      </c>
      <c r="J7" s="43">
        <v>85.219965000000002</v>
      </c>
      <c r="K7" s="43">
        <v>85.596339999999998</v>
      </c>
      <c r="L7" s="43">
        <v>86.069626</v>
      </c>
      <c r="M7" s="43">
        <v>86.763778000000002</v>
      </c>
      <c r="N7" s="43">
        <v>87.188984000000005</v>
      </c>
    </row>
    <row r="8" spans="2:14">
      <c r="B8" s="43">
        <v>2015</v>
      </c>
      <c r="C8" s="43">
        <v>87.110102999999995</v>
      </c>
      <c r="D8" s="43">
        <v>87.275377000000006</v>
      </c>
      <c r="E8" s="43">
        <v>87.630717000000004</v>
      </c>
      <c r="F8" s="43">
        <v>87.403840000000002</v>
      </c>
      <c r="G8" s="43">
        <v>86.967365999999998</v>
      </c>
      <c r="H8" s="43">
        <v>87.113107999999997</v>
      </c>
      <c r="I8" s="43">
        <v>87.240819999999999</v>
      </c>
      <c r="J8" s="43">
        <v>87.424875</v>
      </c>
      <c r="K8" s="43">
        <v>87.752419000000003</v>
      </c>
      <c r="L8" s="43">
        <v>88.203918999999999</v>
      </c>
      <c r="M8" s="43">
        <v>88.685468</v>
      </c>
      <c r="N8" s="43">
        <v>89.046818000000002</v>
      </c>
    </row>
    <row r="9" spans="2:14">
      <c r="B9" s="43">
        <v>2016</v>
      </c>
      <c r="C9" s="43">
        <v>89.386381</v>
      </c>
      <c r="D9" s="43">
        <v>89.777781000000004</v>
      </c>
      <c r="E9" s="43">
        <v>89.910000999999994</v>
      </c>
      <c r="F9" s="43">
        <v>89.625277999999994</v>
      </c>
      <c r="G9" s="43">
        <v>89.225615000000005</v>
      </c>
      <c r="H9" s="43">
        <v>89.324027999999998</v>
      </c>
      <c r="I9" s="43">
        <v>89.556914000000006</v>
      </c>
      <c r="J9" s="43">
        <v>89.809332999999995</v>
      </c>
      <c r="K9" s="43">
        <v>90.357743999999997</v>
      </c>
      <c r="L9" s="43">
        <v>90.906154000000001</v>
      </c>
      <c r="M9" s="43">
        <v>91.616833999999997</v>
      </c>
      <c r="N9" s="43">
        <v>92.039034999999998</v>
      </c>
    </row>
    <row r="10" spans="2:14">
      <c r="B10" s="44">
        <v>2017</v>
      </c>
      <c r="C10" s="44">
        <v>93.603881999999999</v>
      </c>
      <c r="D10" s="44">
        <v>94.144779999999997</v>
      </c>
      <c r="E10" s="44">
        <v>94.722488999999996</v>
      </c>
      <c r="F10" s="44">
        <v>94.838932999999997</v>
      </c>
      <c r="G10" s="44">
        <v>94.725493999999998</v>
      </c>
      <c r="H10" s="42">
        <v>94.963639999999998</v>
      </c>
      <c r="I10" s="44">
        <v>95.322736000000006</v>
      </c>
      <c r="J10" s="44">
        <v>95.793768</v>
      </c>
      <c r="K10" s="44">
        <v>96.093514999999996</v>
      </c>
      <c r="L10" s="44">
        <v>96.698268999999996</v>
      </c>
      <c r="M10" s="44">
        <v>97.695173999999994</v>
      </c>
      <c r="N10" s="44">
        <v>98.272882999999993</v>
      </c>
    </row>
    <row r="11" spans="2:14">
      <c r="B11" s="43">
        <v>2018</v>
      </c>
      <c r="C11" s="43">
        <v>98.795000000000002</v>
      </c>
      <c r="D11" s="43">
        <v>99.171400000000006</v>
      </c>
      <c r="E11" s="43">
        <v>99.492199999999997</v>
      </c>
      <c r="F11" s="43">
        <v>99.154799999999994</v>
      </c>
      <c r="G11" s="43">
        <v>98.994100000000003</v>
      </c>
      <c r="H11" s="43">
        <v>99.376499999999993</v>
      </c>
      <c r="I11" s="45">
        <v>99.909000000000006</v>
      </c>
      <c r="J11" s="43">
        <v>100.492</v>
      </c>
      <c r="K11" s="43">
        <v>100.917</v>
      </c>
      <c r="L11" s="43">
        <v>101.44</v>
      </c>
      <c r="M11" s="43">
        <v>102.303</v>
      </c>
      <c r="N11" s="43">
        <v>103.02</v>
      </c>
    </row>
    <row r="12" spans="2:14">
      <c r="B12" s="43">
        <v>2019</v>
      </c>
      <c r="C12" s="43">
        <v>103.108</v>
      </c>
      <c r="D12" s="43">
        <v>103.07899999999999</v>
      </c>
      <c r="E12" s="43">
        <v>103.476</v>
      </c>
      <c r="F12" s="43">
        <v>103.53100000000001</v>
      </c>
      <c r="G12" s="43">
        <v>103.233</v>
      </c>
      <c r="H12" s="43">
        <v>103.29900000000001</v>
      </c>
      <c r="I12" s="43">
        <v>103.687</v>
      </c>
      <c r="J12" s="43">
        <v>103.67</v>
      </c>
      <c r="K12" s="43">
        <v>103.94199999999999</v>
      </c>
      <c r="L12" s="43">
        <v>104.503</v>
      </c>
      <c r="M12" s="43">
        <v>105.346</v>
      </c>
      <c r="N12" s="43">
        <v>105.934</v>
      </c>
    </row>
    <row r="13" spans="2:14">
      <c r="B13" s="43">
        <v>2020</v>
      </c>
      <c r="C13" s="43">
        <v>106.447</v>
      </c>
      <c r="D13" s="43">
        <v>106.889</v>
      </c>
      <c r="E13" s="43">
        <v>106.83799999999999</v>
      </c>
      <c r="F13" s="43">
        <v>105.755</v>
      </c>
      <c r="G13" s="43">
        <v>106.16200000000001</v>
      </c>
      <c r="H13" s="43">
        <v>106.74299999999999</v>
      </c>
      <c r="I13" s="43">
        <v>107.444</v>
      </c>
      <c r="J13" s="43">
        <v>107.867</v>
      </c>
      <c r="K13" s="43">
        <v>108.114</v>
      </c>
      <c r="L13" s="43">
        <v>108.774</v>
      </c>
      <c r="M13" s="43">
        <v>108.85599999999999</v>
      </c>
      <c r="N13" s="42">
        <v>109.271</v>
      </c>
    </row>
  </sheetData>
  <mergeCells count="1">
    <mergeCell ref="B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2D26-68E5-415C-96DA-98669CE67B8A}">
  <dimension ref="B2:C4"/>
  <sheetViews>
    <sheetView workbookViewId="0">
      <selection activeCell="C4" sqref="C4"/>
    </sheetView>
  </sheetViews>
  <sheetFormatPr baseColWidth="10" defaultRowHeight="14.5"/>
  <cols>
    <col min="2" max="2" width="22.90625" bestFit="1" customWidth="1"/>
  </cols>
  <sheetData>
    <row r="2" spans="2:3">
      <c r="B2" t="s">
        <v>19</v>
      </c>
      <c r="C2" t="s">
        <v>21</v>
      </c>
    </row>
    <row r="3" spans="2:3">
      <c r="B3" t="s">
        <v>20</v>
      </c>
      <c r="C3" t="s">
        <v>22</v>
      </c>
    </row>
    <row r="4" spans="2:3">
      <c r="B4" t="s">
        <v>59</v>
      </c>
      <c r="C4">
        <v>86.88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7CA8D-A53F-4AB3-9EEA-870AA9AFF265}">
  <dimension ref="B1:BH29"/>
  <sheetViews>
    <sheetView topLeftCell="A12" workbookViewId="0">
      <selection activeCell="B21" sqref="B21"/>
    </sheetView>
  </sheetViews>
  <sheetFormatPr baseColWidth="10" defaultRowHeight="14.5"/>
  <cols>
    <col min="2" max="4" width="12.54296875" bestFit="1" customWidth="1"/>
    <col min="5" max="5" width="9.54296875" bestFit="1" customWidth="1"/>
    <col min="6" max="6" width="5.7265625" customWidth="1"/>
    <col min="7" max="9" width="11" bestFit="1" customWidth="1"/>
    <col min="10" max="10" width="9.54296875" bestFit="1" customWidth="1"/>
    <col min="11" max="11" width="5.7265625" customWidth="1"/>
    <col min="12" max="14" width="11" bestFit="1" customWidth="1"/>
    <col min="15" max="15" width="9.54296875" bestFit="1" customWidth="1"/>
    <col min="16" max="16" width="5.7265625" customWidth="1"/>
    <col min="17" max="18" width="12.54296875" bestFit="1" customWidth="1"/>
    <col min="19" max="19" width="11" bestFit="1" customWidth="1"/>
    <col min="20" max="20" width="9.54296875" bestFit="1" customWidth="1"/>
    <col min="21" max="21" width="5.7265625" customWidth="1"/>
    <col min="22" max="23" width="12.54296875" bestFit="1" customWidth="1"/>
    <col min="24" max="24" width="11" bestFit="1" customWidth="1"/>
    <col min="25" max="25" width="9.54296875" bestFit="1" customWidth="1"/>
    <col min="26" max="26" width="5.7265625" customWidth="1"/>
    <col min="27" max="28" width="12.54296875" bestFit="1" customWidth="1"/>
    <col min="29" max="29" width="11" bestFit="1" customWidth="1"/>
    <col min="30" max="30" width="9.54296875" bestFit="1" customWidth="1"/>
    <col min="31" max="31" width="5.7265625" customWidth="1"/>
    <col min="32" max="33" width="12.54296875" bestFit="1" customWidth="1"/>
    <col min="34" max="34" width="11" bestFit="1" customWidth="1"/>
    <col min="35" max="35" width="9.54296875" bestFit="1" customWidth="1"/>
    <col min="36" max="36" width="5.7265625" customWidth="1"/>
    <col min="37" max="38" width="12.54296875" bestFit="1" customWidth="1"/>
    <col min="39" max="39" width="11" bestFit="1" customWidth="1"/>
    <col min="40" max="40" width="9.54296875" bestFit="1" customWidth="1"/>
    <col min="41" max="41" width="5.7265625" customWidth="1"/>
    <col min="42" max="43" width="12.54296875" bestFit="1" customWidth="1"/>
    <col min="44" max="44" width="11" bestFit="1" customWidth="1"/>
    <col min="45" max="45" width="9.54296875" bestFit="1" customWidth="1"/>
    <col min="46" max="46" width="5.7265625" customWidth="1"/>
    <col min="47" max="48" width="12.54296875" bestFit="1" customWidth="1"/>
    <col min="49" max="49" width="11" bestFit="1" customWidth="1"/>
    <col min="50" max="50" width="9.54296875" bestFit="1" customWidth="1"/>
    <col min="51" max="51" width="5.7265625" customWidth="1"/>
    <col min="52" max="54" width="12.54296875" bestFit="1" customWidth="1"/>
    <col min="55" max="55" width="9.54296875" bestFit="1" customWidth="1"/>
    <col min="56" max="56" width="5.7265625" customWidth="1"/>
    <col min="57" max="59" width="12.54296875" bestFit="1" customWidth="1"/>
    <col min="60" max="60" width="9.54296875" bestFit="1" customWidth="1"/>
  </cols>
  <sheetData>
    <row r="1" spans="2:60">
      <c r="E1">
        <v>1</v>
      </c>
      <c r="J1">
        <f>+E1+1</f>
        <v>2</v>
      </c>
      <c r="O1">
        <f>+J1+1</f>
        <v>3</v>
      </c>
      <c r="T1">
        <f>+O1+1</f>
        <v>4</v>
      </c>
      <c r="Y1">
        <f>+T1+1</f>
        <v>5</v>
      </c>
      <c r="AD1">
        <f>+Y1+1</f>
        <v>6</v>
      </c>
      <c r="AI1">
        <f>+AD1+1</f>
        <v>7</v>
      </c>
      <c r="AN1">
        <f>+AI1+1</f>
        <v>8</v>
      </c>
      <c r="AS1">
        <f>+AN1+1</f>
        <v>9</v>
      </c>
      <c r="AX1">
        <f>+AS1+1</f>
        <v>10</v>
      </c>
      <c r="BC1">
        <f>+AX1+1</f>
        <v>11</v>
      </c>
      <c r="BH1">
        <f>+BC1+1</f>
        <v>12</v>
      </c>
    </row>
    <row r="2" spans="2:60">
      <c r="B2" s="15" t="s">
        <v>7</v>
      </c>
      <c r="C2" s="15"/>
      <c r="D2" s="15"/>
      <c r="E2" s="15"/>
      <c r="G2" s="15" t="s">
        <v>8</v>
      </c>
      <c r="H2" s="15"/>
      <c r="I2" s="15"/>
      <c r="J2" s="15"/>
      <c r="L2" s="15" t="s">
        <v>9</v>
      </c>
      <c r="M2" s="15"/>
      <c r="N2" s="15"/>
      <c r="O2" s="15"/>
      <c r="Q2" s="15" t="s">
        <v>10</v>
      </c>
      <c r="R2" s="15"/>
      <c r="S2" s="15"/>
      <c r="T2" s="15"/>
      <c r="V2" s="15" t="s">
        <v>11</v>
      </c>
      <c r="W2" s="15"/>
      <c r="X2" s="15"/>
      <c r="Y2" s="15"/>
      <c r="AA2" s="15" t="s">
        <v>12</v>
      </c>
      <c r="AB2" s="15"/>
      <c r="AC2" s="15"/>
      <c r="AD2" s="15"/>
      <c r="AF2" s="15" t="s">
        <v>13</v>
      </c>
      <c r="AG2" s="15"/>
      <c r="AH2" s="15"/>
      <c r="AI2" s="15"/>
      <c r="AK2" s="15" t="s">
        <v>14</v>
      </c>
      <c r="AL2" s="15"/>
      <c r="AM2" s="15"/>
      <c r="AN2" s="15"/>
      <c r="AP2" s="15" t="s">
        <v>15</v>
      </c>
      <c r="AQ2" s="15"/>
      <c r="AR2" s="15"/>
      <c r="AS2" s="15"/>
      <c r="AU2" s="15" t="s">
        <v>16</v>
      </c>
      <c r="AV2" s="15"/>
      <c r="AW2" s="15"/>
      <c r="AX2" s="15"/>
      <c r="AZ2" s="15" t="s">
        <v>17</v>
      </c>
      <c r="BA2" s="15"/>
      <c r="BB2" s="15"/>
      <c r="BC2" s="15"/>
      <c r="BE2" s="15" t="s">
        <v>18</v>
      </c>
      <c r="BF2" s="15"/>
      <c r="BG2" s="15"/>
      <c r="BH2" s="15"/>
    </row>
    <row r="3" spans="2:60">
      <c r="B3" s="1" t="s">
        <v>0</v>
      </c>
      <c r="C3" s="1"/>
      <c r="D3" s="1"/>
      <c r="E3" s="1"/>
      <c r="G3" s="1" t="s">
        <v>0</v>
      </c>
      <c r="H3" s="1"/>
      <c r="I3" s="1"/>
      <c r="J3" s="1"/>
      <c r="L3" s="1" t="s">
        <v>0</v>
      </c>
      <c r="M3" s="1"/>
      <c r="N3" s="1"/>
      <c r="O3" s="1"/>
      <c r="Q3" s="1" t="s">
        <v>0</v>
      </c>
      <c r="R3" s="1"/>
      <c r="S3" s="1"/>
      <c r="T3" s="1"/>
      <c r="V3" s="1" t="s">
        <v>0</v>
      </c>
      <c r="W3" s="1"/>
      <c r="X3" s="1"/>
      <c r="Y3" s="1"/>
      <c r="AA3" s="1" t="s">
        <v>0</v>
      </c>
      <c r="AB3" s="1"/>
      <c r="AC3" s="1"/>
      <c r="AD3" s="1"/>
      <c r="AF3" s="1" t="s">
        <v>0</v>
      </c>
      <c r="AG3" s="1"/>
      <c r="AH3" s="1"/>
      <c r="AI3" s="1"/>
      <c r="AK3" s="1" t="s">
        <v>0</v>
      </c>
      <c r="AL3" s="1"/>
      <c r="AM3" s="1"/>
      <c r="AN3" s="1"/>
      <c r="AP3" s="1" t="s">
        <v>0</v>
      </c>
      <c r="AQ3" s="1"/>
      <c r="AR3" s="1"/>
      <c r="AS3" s="1"/>
      <c r="AU3" s="1" t="s">
        <v>0</v>
      </c>
      <c r="AV3" s="1"/>
      <c r="AW3" s="1"/>
      <c r="AX3" s="1"/>
      <c r="AZ3" s="1" t="s">
        <v>0</v>
      </c>
      <c r="BA3" s="1"/>
      <c r="BB3" s="1"/>
      <c r="BC3" s="1"/>
      <c r="BE3" s="1" t="s">
        <v>0</v>
      </c>
      <c r="BF3" s="1"/>
      <c r="BG3" s="1"/>
      <c r="BH3" s="1"/>
    </row>
    <row r="4" spans="2:60" ht="50">
      <c r="B4" s="2" t="s">
        <v>1</v>
      </c>
      <c r="C4" s="2" t="s">
        <v>2</v>
      </c>
      <c r="D4" s="2" t="s">
        <v>3</v>
      </c>
      <c r="E4" s="2" t="s">
        <v>4</v>
      </c>
      <c r="G4" s="2" t="s">
        <v>1</v>
      </c>
      <c r="H4" s="2" t="s">
        <v>2</v>
      </c>
      <c r="I4" s="2" t="s">
        <v>3</v>
      </c>
      <c r="J4" s="2" t="s">
        <v>4</v>
      </c>
      <c r="L4" s="2" t="s">
        <v>1</v>
      </c>
      <c r="M4" s="2" t="s">
        <v>2</v>
      </c>
      <c r="N4" s="2" t="s">
        <v>3</v>
      </c>
      <c r="O4" s="2" t="s">
        <v>4</v>
      </c>
      <c r="Q4" s="2" t="s">
        <v>1</v>
      </c>
      <c r="R4" s="2" t="s">
        <v>2</v>
      </c>
      <c r="S4" s="2" t="s">
        <v>3</v>
      </c>
      <c r="T4" s="2" t="s">
        <v>4</v>
      </c>
      <c r="V4" s="2" t="s">
        <v>1</v>
      </c>
      <c r="W4" s="2" t="s">
        <v>2</v>
      </c>
      <c r="X4" s="2" t="s">
        <v>3</v>
      </c>
      <c r="Y4" s="2" t="s">
        <v>4</v>
      </c>
      <c r="AA4" s="2" t="s">
        <v>1</v>
      </c>
      <c r="AB4" s="2" t="s">
        <v>2</v>
      </c>
      <c r="AC4" s="2" t="s">
        <v>3</v>
      </c>
      <c r="AD4" s="2" t="s">
        <v>4</v>
      </c>
      <c r="AF4" s="2" t="s">
        <v>1</v>
      </c>
      <c r="AG4" s="2" t="s">
        <v>2</v>
      </c>
      <c r="AH4" s="2" t="s">
        <v>3</v>
      </c>
      <c r="AI4" s="2" t="s">
        <v>4</v>
      </c>
      <c r="AK4" s="2" t="s">
        <v>1</v>
      </c>
      <c r="AL4" s="2" t="s">
        <v>2</v>
      </c>
      <c r="AM4" s="2" t="s">
        <v>3</v>
      </c>
      <c r="AN4" s="2" t="s">
        <v>4</v>
      </c>
      <c r="AP4" s="2" t="s">
        <v>1</v>
      </c>
      <c r="AQ4" s="2" t="s">
        <v>2</v>
      </c>
      <c r="AR4" s="2" t="s">
        <v>3</v>
      </c>
      <c r="AS4" s="2" t="s">
        <v>4</v>
      </c>
      <c r="AU4" s="2" t="s">
        <v>1</v>
      </c>
      <c r="AV4" s="2" t="s">
        <v>2</v>
      </c>
      <c r="AW4" s="2" t="s">
        <v>3</v>
      </c>
      <c r="AX4" s="2" t="s">
        <v>4</v>
      </c>
      <c r="AZ4" s="2" t="s">
        <v>1</v>
      </c>
      <c r="BA4" s="2" t="s">
        <v>2</v>
      </c>
      <c r="BB4" s="2" t="s">
        <v>3</v>
      </c>
      <c r="BC4" s="2" t="s">
        <v>4</v>
      </c>
      <c r="BE4" s="2" t="s">
        <v>1</v>
      </c>
      <c r="BF4" s="2" t="s">
        <v>2</v>
      </c>
      <c r="BG4" s="2" t="s">
        <v>3</v>
      </c>
      <c r="BH4" s="2" t="s">
        <v>4</v>
      </c>
    </row>
    <row r="5" spans="2:60">
      <c r="B5" s="3">
        <v>0.01</v>
      </c>
      <c r="C5" s="3">
        <v>578.52</v>
      </c>
      <c r="D5" s="3">
        <v>0</v>
      </c>
      <c r="E5" s="4">
        <v>1.9199999999999998E-2</v>
      </c>
      <c r="G5" s="3">
        <v>0.01</v>
      </c>
      <c r="H5" s="3">
        <f>ROUND(+G6-0.01,2)</f>
        <v>1157.05</v>
      </c>
      <c r="I5" s="3">
        <f>+$D5*J$1</f>
        <v>0</v>
      </c>
      <c r="J5" s="4">
        <v>1.9199999999999998E-2</v>
      </c>
      <c r="L5" s="3">
        <v>0.01</v>
      </c>
      <c r="M5" s="3">
        <f>ROUND(+L6-0.01,2)</f>
        <v>1735.58</v>
      </c>
      <c r="N5" s="3">
        <f>+$D5*O$1</f>
        <v>0</v>
      </c>
      <c r="O5" s="4">
        <v>1.9199999999999998E-2</v>
      </c>
      <c r="Q5" s="3">
        <v>0.01</v>
      </c>
      <c r="R5" s="3">
        <f>ROUND(+Q6-0.01,2)</f>
        <v>2314.11</v>
      </c>
      <c r="S5" s="3">
        <f>+$D5*T$1</f>
        <v>0</v>
      </c>
      <c r="T5" s="4">
        <v>1.9199999999999998E-2</v>
      </c>
      <c r="V5" s="3">
        <v>0.01</v>
      </c>
      <c r="W5" s="3">
        <f>ROUND(+V6-0.01,2)</f>
        <v>2892.64</v>
      </c>
      <c r="X5" s="3">
        <f>+$D5*Y$1</f>
        <v>0</v>
      </c>
      <c r="Y5" s="4">
        <v>1.9199999999999998E-2</v>
      </c>
      <c r="AA5" s="3">
        <v>0.01</v>
      </c>
      <c r="AB5" s="3">
        <f>ROUND(+AA6-0.01,2)</f>
        <v>3471.17</v>
      </c>
      <c r="AC5" s="3">
        <f>+$D5*AD$1</f>
        <v>0</v>
      </c>
      <c r="AD5" s="4">
        <v>1.9199999999999998E-2</v>
      </c>
      <c r="AF5" s="3">
        <v>0.01</v>
      </c>
      <c r="AG5" s="3">
        <f>ROUND(+AF6-0.01,2)</f>
        <v>4049.7</v>
      </c>
      <c r="AH5" s="3">
        <f>+$D5*AI$1</f>
        <v>0</v>
      </c>
      <c r="AI5" s="4">
        <v>1.9199999999999998E-2</v>
      </c>
      <c r="AK5" s="3">
        <v>0.01</v>
      </c>
      <c r="AL5" s="3">
        <f>ROUND(+AK6-0.01,2)</f>
        <v>4628.2299999999996</v>
      </c>
      <c r="AM5" s="3">
        <f>+$D5*AN$1</f>
        <v>0</v>
      </c>
      <c r="AN5" s="4">
        <v>1.9199999999999998E-2</v>
      </c>
      <c r="AP5" s="3">
        <v>0.01</v>
      </c>
      <c r="AQ5" s="3">
        <f>ROUND(+AP6-0.01,2)</f>
        <v>5206.76</v>
      </c>
      <c r="AR5" s="3">
        <f>+$D5*AS$1</f>
        <v>0</v>
      </c>
      <c r="AS5" s="4">
        <v>1.9199999999999998E-2</v>
      </c>
      <c r="AU5" s="3">
        <v>0.01</v>
      </c>
      <c r="AV5" s="3">
        <f>ROUND(+AU6-0.01,2)</f>
        <v>5785.29</v>
      </c>
      <c r="AW5" s="3">
        <f>+$D5*AX$1</f>
        <v>0</v>
      </c>
      <c r="AX5" s="4">
        <v>1.9199999999999998E-2</v>
      </c>
      <c r="AZ5" s="3">
        <v>0.01</v>
      </c>
      <c r="BA5" s="3">
        <f>ROUND(+AZ6-0.01,2)</f>
        <v>6363.82</v>
      </c>
      <c r="BB5" s="3">
        <f>+$D5*BC$1</f>
        <v>0</v>
      </c>
      <c r="BC5" s="4">
        <v>1.9199999999999998E-2</v>
      </c>
      <c r="BE5" s="3">
        <v>0.01</v>
      </c>
      <c r="BF5" s="3">
        <f>ROUND(+BE6-0.01,2)</f>
        <v>6942.35</v>
      </c>
      <c r="BG5" s="3">
        <f>+$D5*BH$1</f>
        <v>0</v>
      </c>
      <c r="BH5" s="4">
        <v>1.9199999999999998E-2</v>
      </c>
    </row>
    <row r="6" spans="2:60">
      <c r="B6" s="5">
        <v>578.53</v>
      </c>
      <c r="C6" s="5">
        <v>4910.18</v>
      </c>
      <c r="D6" s="5">
        <v>11.11</v>
      </c>
      <c r="E6" s="6">
        <v>6.4000000000000001E-2</v>
      </c>
      <c r="G6" s="5">
        <f>ROUND(+$B6*J$1,2)</f>
        <v>1157.06</v>
      </c>
      <c r="H6" s="5">
        <f t="shared" ref="H6:H14" si="0">ROUND(+G7-0.01,2)</f>
        <v>9820.3700000000008</v>
      </c>
      <c r="I6" s="5">
        <f t="shared" ref="I6:I15" si="1">+$D6*J$1</f>
        <v>22.22</v>
      </c>
      <c r="J6" s="6">
        <v>6.4000000000000001E-2</v>
      </c>
      <c r="L6" s="5">
        <f>ROUND(+$B6*O$1,2)</f>
        <v>1735.59</v>
      </c>
      <c r="M6" s="5">
        <f t="shared" ref="M6:M14" si="2">ROUND(+L7-0.01,2)</f>
        <v>14730.56</v>
      </c>
      <c r="N6" s="5">
        <f t="shared" ref="N6:N15" si="3">+$D6*O$1</f>
        <v>33.33</v>
      </c>
      <c r="O6" s="6">
        <v>6.4000000000000001E-2</v>
      </c>
      <c r="Q6" s="5">
        <f>ROUND(+$B6*T$1,2)</f>
        <v>2314.12</v>
      </c>
      <c r="R6" s="5">
        <f t="shared" ref="R6:R14" si="4">ROUND(+Q7-0.01,2)</f>
        <v>19640.75</v>
      </c>
      <c r="S6" s="5">
        <f t="shared" ref="S6:S15" si="5">+$D6*T$1</f>
        <v>44.44</v>
      </c>
      <c r="T6" s="6">
        <v>6.4000000000000001E-2</v>
      </c>
      <c r="V6" s="5">
        <f>ROUND(+$B6*Y$1,2)</f>
        <v>2892.65</v>
      </c>
      <c r="W6" s="5">
        <f t="shared" ref="W6:W14" si="6">ROUND(+V7-0.01,2)</f>
        <v>24550.94</v>
      </c>
      <c r="X6" s="5">
        <f t="shared" ref="X6:X15" si="7">+$D6*Y$1</f>
        <v>55.55</v>
      </c>
      <c r="Y6" s="6">
        <v>6.4000000000000001E-2</v>
      </c>
      <c r="AA6" s="5">
        <f>ROUND(+$B6*AD$1,2)</f>
        <v>3471.18</v>
      </c>
      <c r="AB6" s="5">
        <f t="shared" ref="AB6:AB14" si="8">ROUND(+AA7-0.01,2)</f>
        <v>29461.13</v>
      </c>
      <c r="AC6" s="5">
        <f t="shared" ref="AC6:AC15" si="9">+$D6*AD$1</f>
        <v>66.66</v>
      </c>
      <c r="AD6" s="6">
        <v>6.4000000000000001E-2</v>
      </c>
      <c r="AF6" s="5">
        <f>ROUND(+$B6*AI$1,2)</f>
        <v>4049.71</v>
      </c>
      <c r="AG6" s="5">
        <f t="shared" ref="AG6:AG14" si="10">ROUND(+AF7-0.01,2)</f>
        <v>34371.32</v>
      </c>
      <c r="AH6" s="5">
        <f t="shared" ref="AH6:AH15" si="11">+$D6*AI$1</f>
        <v>77.77</v>
      </c>
      <c r="AI6" s="6">
        <v>6.4000000000000001E-2</v>
      </c>
      <c r="AK6" s="5">
        <f>ROUND(+$B6*AN$1,2)</f>
        <v>4628.24</v>
      </c>
      <c r="AL6" s="5">
        <f t="shared" ref="AL6:AL14" si="12">ROUND(+AK7-0.01,2)</f>
        <v>39281.51</v>
      </c>
      <c r="AM6" s="5">
        <f t="shared" ref="AM6:AM15" si="13">+$D6*AN$1</f>
        <v>88.88</v>
      </c>
      <c r="AN6" s="6">
        <v>6.4000000000000001E-2</v>
      </c>
      <c r="AP6" s="5">
        <f>ROUND(+$B6*AS$1,2)</f>
        <v>5206.7700000000004</v>
      </c>
      <c r="AQ6" s="5">
        <f t="shared" ref="AQ6:AQ14" si="14">ROUND(+AP7-0.01,2)</f>
        <v>44191.7</v>
      </c>
      <c r="AR6" s="5">
        <f t="shared" ref="AR6:AR15" si="15">+$D6*AS$1</f>
        <v>99.99</v>
      </c>
      <c r="AS6" s="6">
        <v>6.4000000000000001E-2</v>
      </c>
      <c r="AU6" s="5">
        <f>ROUND(+$B6*AX$1,2)</f>
        <v>5785.3</v>
      </c>
      <c r="AV6" s="5">
        <f t="shared" ref="AV6:AV14" si="16">ROUND(+AU7-0.01,2)</f>
        <v>49101.89</v>
      </c>
      <c r="AW6" s="5">
        <f t="shared" ref="AW6:AW15" si="17">+$D6*AX$1</f>
        <v>111.1</v>
      </c>
      <c r="AX6" s="6">
        <v>6.4000000000000001E-2</v>
      </c>
      <c r="AZ6" s="5">
        <f>ROUND(+$B6*BC$1,2)</f>
        <v>6363.83</v>
      </c>
      <c r="BA6" s="5">
        <f t="shared" ref="BA6:BA14" si="18">ROUND(+AZ7-0.01,2)</f>
        <v>54012.08</v>
      </c>
      <c r="BB6" s="5">
        <f t="shared" ref="BB6:BB15" si="19">+$D6*BC$1</f>
        <v>122.21</v>
      </c>
      <c r="BC6" s="6">
        <v>6.4000000000000001E-2</v>
      </c>
      <c r="BE6" s="5">
        <f>ROUND(+$B6*BH$1,2)</f>
        <v>6942.36</v>
      </c>
      <c r="BF6" s="5">
        <f t="shared" ref="BF6:BF14" si="20">ROUND(+BE7-0.01,2)</f>
        <v>58922.27</v>
      </c>
      <c r="BG6" s="5">
        <f t="shared" ref="BG6:BG15" si="21">+$D6*BH$1</f>
        <v>133.32</v>
      </c>
      <c r="BH6" s="6">
        <v>6.4000000000000001E-2</v>
      </c>
    </row>
    <row r="7" spans="2:60">
      <c r="B7" s="3">
        <v>4910.1899999999996</v>
      </c>
      <c r="C7" s="3">
        <v>8629.2000000000007</v>
      </c>
      <c r="D7" s="3">
        <v>288.33</v>
      </c>
      <c r="E7" s="4">
        <v>0.10880000000000001</v>
      </c>
      <c r="G7" s="3">
        <f t="shared" ref="G7:G15" si="22">ROUND(+$B7*J$1,2)</f>
        <v>9820.3799999999992</v>
      </c>
      <c r="H7" s="3">
        <f t="shared" si="0"/>
        <v>17258.41</v>
      </c>
      <c r="I7" s="3">
        <f t="shared" si="1"/>
        <v>576.66</v>
      </c>
      <c r="J7" s="4">
        <v>0.10880000000000001</v>
      </c>
      <c r="L7" s="3">
        <f t="shared" ref="L7:L15" si="23">ROUND(+$B7*O$1,2)</f>
        <v>14730.57</v>
      </c>
      <c r="M7" s="3">
        <f t="shared" si="2"/>
        <v>25887.62</v>
      </c>
      <c r="N7" s="3">
        <f t="shared" si="3"/>
        <v>864.99</v>
      </c>
      <c r="O7" s="4">
        <v>0.10880000000000001</v>
      </c>
      <c r="Q7" s="3">
        <f t="shared" ref="Q7:Q15" si="24">ROUND(+$B7*T$1,2)</f>
        <v>19640.759999999998</v>
      </c>
      <c r="R7" s="3">
        <f t="shared" si="4"/>
        <v>34516.83</v>
      </c>
      <c r="S7" s="3">
        <f t="shared" si="5"/>
        <v>1153.32</v>
      </c>
      <c r="T7" s="4">
        <v>0.10880000000000001</v>
      </c>
      <c r="V7" s="3">
        <f t="shared" ref="V7:V15" si="25">ROUND(+$B7*Y$1,2)</f>
        <v>24550.95</v>
      </c>
      <c r="W7" s="3">
        <f t="shared" si="6"/>
        <v>43146.04</v>
      </c>
      <c r="X7" s="3">
        <f t="shared" si="7"/>
        <v>1441.6499999999999</v>
      </c>
      <c r="Y7" s="4">
        <v>0.10880000000000001</v>
      </c>
      <c r="AA7" s="3">
        <f t="shared" ref="AA7:AA15" si="26">ROUND(+$B7*AD$1,2)</f>
        <v>29461.14</v>
      </c>
      <c r="AB7" s="3">
        <f t="shared" si="8"/>
        <v>51775.25</v>
      </c>
      <c r="AC7" s="3">
        <f t="shared" si="9"/>
        <v>1729.98</v>
      </c>
      <c r="AD7" s="4">
        <v>0.10880000000000001</v>
      </c>
      <c r="AF7" s="3">
        <f t="shared" ref="AF7:AF15" si="27">ROUND(+$B7*AI$1,2)</f>
        <v>34371.33</v>
      </c>
      <c r="AG7" s="3">
        <f t="shared" si="10"/>
        <v>60404.46</v>
      </c>
      <c r="AH7" s="3">
        <f t="shared" si="11"/>
        <v>2018.31</v>
      </c>
      <c r="AI7" s="4">
        <v>0.10880000000000001</v>
      </c>
      <c r="AK7" s="3">
        <f t="shared" ref="AK7:AK15" si="28">ROUND(+$B7*AN$1,2)</f>
        <v>39281.519999999997</v>
      </c>
      <c r="AL7" s="3">
        <f t="shared" si="12"/>
        <v>69033.67</v>
      </c>
      <c r="AM7" s="3">
        <f t="shared" si="13"/>
        <v>2306.64</v>
      </c>
      <c r="AN7" s="4">
        <v>0.10880000000000001</v>
      </c>
      <c r="AP7" s="3">
        <f t="shared" ref="AP7:AP15" si="29">ROUND(+$B7*AS$1,2)</f>
        <v>44191.71</v>
      </c>
      <c r="AQ7" s="3">
        <f t="shared" si="14"/>
        <v>77662.880000000005</v>
      </c>
      <c r="AR7" s="3">
        <f t="shared" si="15"/>
        <v>2594.9699999999998</v>
      </c>
      <c r="AS7" s="4">
        <v>0.10880000000000001</v>
      </c>
      <c r="AU7" s="3">
        <f t="shared" ref="AU7:AU15" si="30">ROUND(+$B7*AX$1,2)</f>
        <v>49101.9</v>
      </c>
      <c r="AV7" s="3">
        <f t="shared" si="16"/>
        <v>86292.09</v>
      </c>
      <c r="AW7" s="3">
        <f t="shared" si="17"/>
        <v>2883.2999999999997</v>
      </c>
      <c r="AX7" s="4">
        <v>0.10880000000000001</v>
      </c>
      <c r="AZ7" s="3">
        <f t="shared" ref="AZ7:AZ15" si="31">ROUND(+$B7*BC$1,2)</f>
        <v>54012.09</v>
      </c>
      <c r="BA7" s="3">
        <f t="shared" si="18"/>
        <v>94921.3</v>
      </c>
      <c r="BB7" s="3">
        <f t="shared" si="19"/>
        <v>3171.6299999999997</v>
      </c>
      <c r="BC7" s="4">
        <v>0.10880000000000001</v>
      </c>
      <c r="BE7" s="3">
        <f t="shared" ref="BE7:BE15" si="32">ROUND(+$B7*BH$1,2)</f>
        <v>58922.28</v>
      </c>
      <c r="BF7" s="3">
        <f t="shared" si="20"/>
        <v>103550.51</v>
      </c>
      <c r="BG7" s="3">
        <f t="shared" si="21"/>
        <v>3459.96</v>
      </c>
      <c r="BH7" s="4">
        <v>0.10880000000000001</v>
      </c>
    </row>
    <row r="8" spans="2:60">
      <c r="B8" s="5">
        <v>8629.2099999999991</v>
      </c>
      <c r="C8" s="5">
        <v>10031.07</v>
      </c>
      <c r="D8" s="5">
        <v>692.96</v>
      </c>
      <c r="E8" s="6">
        <v>0.16</v>
      </c>
      <c r="G8" s="5">
        <f t="shared" si="22"/>
        <v>17258.419999999998</v>
      </c>
      <c r="H8" s="5">
        <f t="shared" si="0"/>
        <v>20062.150000000001</v>
      </c>
      <c r="I8" s="5">
        <f t="shared" si="1"/>
        <v>1385.92</v>
      </c>
      <c r="J8" s="6">
        <v>0.16</v>
      </c>
      <c r="L8" s="5">
        <f t="shared" si="23"/>
        <v>25887.63</v>
      </c>
      <c r="M8" s="5">
        <f t="shared" si="2"/>
        <v>30093.23</v>
      </c>
      <c r="N8" s="5">
        <f t="shared" si="3"/>
        <v>2078.88</v>
      </c>
      <c r="O8" s="6">
        <v>0.16</v>
      </c>
      <c r="Q8" s="5">
        <f t="shared" si="24"/>
        <v>34516.839999999997</v>
      </c>
      <c r="R8" s="5">
        <f t="shared" si="4"/>
        <v>40124.31</v>
      </c>
      <c r="S8" s="5">
        <f t="shared" si="5"/>
        <v>2771.84</v>
      </c>
      <c r="T8" s="6">
        <v>0.16</v>
      </c>
      <c r="V8" s="5">
        <f t="shared" si="25"/>
        <v>43146.05</v>
      </c>
      <c r="W8" s="5">
        <f t="shared" si="6"/>
        <v>50155.39</v>
      </c>
      <c r="X8" s="5">
        <f t="shared" si="7"/>
        <v>3464.8</v>
      </c>
      <c r="Y8" s="6">
        <v>0.16</v>
      </c>
      <c r="AA8" s="5">
        <f t="shared" si="26"/>
        <v>51775.26</v>
      </c>
      <c r="AB8" s="5">
        <f t="shared" si="8"/>
        <v>60186.47</v>
      </c>
      <c r="AC8" s="5">
        <f t="shared" si="9"/>
        <v>4157.76</v>
      </c>
      <c r="AD8" s="6">
        <v>0.16</v>
      </c>
      <c r="AF8" s="5">
        <f t="shared" si="27"/>
        <v>60404.47</v>
      </c>
      <c r="AG8" s="5">
        <f t="shared" si="10"/>
        <v>70217.55</v>
      </c>
      <c r="AH8" s="5">
        <f t="shared" si="11"/>
        <v>4850.72</v>
      </c>
      <c r="AI8" s="6">
        <v>0.16</v>
      </c>
      <c r="AK8" s="5">
        <f t="shared" si="28"/>
        <v>69033.679999999993</v>
      </c>
      <c r="AL8" s="5">
        <f t="shared" si="12"/>
        <v>80248.63</v>
      </c>
      <c r="AM8" s="5">
        <f t="shared" si="13"/>
        <v>5543.68</v>
      </c>
      <c r="AN8" s="6">
        <v>0.16</v>
      </c>
      <c r="AP8" s="5">
        <f t="shared" si="29"/>
        <v>77662.89</v>
      </c>
      <c r="AQ8" s="5">
        <f t="shared" si="14"/>
        <v>90279.71</v>
      </c>
      <c r="AR8" s="5">
        <f t="shared" si="15"/>
        <v>6236.64</v>
      </c>
      <c r="AS8" s="6">
        <v>0.16</v>
      </c>
      <c r="AU8" s="5">
        <f t="shared" si="30"/>
        <v>86292.1</v>
      </c>
      <c r="AV8" s="5">
        <f t="shared" si="16"/>
        <v>100310.79</v>
      </c>
      <c r="AW8" s="5">
        <f t="shared" si="17"/>
        <v>6929.6</v>
      </c>
      <c r="AX8" s="6">
        <v>0.16</v>
      </c>
      <c r="AZ8" s="5">
        <f t="shared" si="31"/>
        <v>94921.31</v>
      </c>
      <c r="BA8" s="5">
        <f t="shared" si="18"/>
        <v>110341.87</v>
      </c>
      <c r="BB8" s="5">
        <f t="shared" si="19"/>
        <v>7622.56</v>
      </c>
      <c r="BC8" s="6">
        <v>0.16</v>
      </c>
      <c r="BE8" s="5">
        <f t="shared" si="32"/>
        <v>103550.52</v>
      </c>
      <c r="BF8" s="5">
        <f t="shared" si="20"/>
        <v>120372.95</v>
      </c>
      <c r="BG8" s="5">
        <f t="shared" si="21"/>
        <v>8315.52</v>
      </c>
      <c r="BH8" s="6">
        <v>0.16</v>
      </c>
    </row>
    <row r="9" spans="2:60">
      <c r="B9" s="3">
        <v>10031.08</v>
      </c>
      <c r="C9" s="3">
        <v>12009.94</v>
      </c>
      <c r="D9" s="3">
        <v>917.26</v>
      </c>
      <c r="E9" s="4">
        <v>0.17920000000000003</v>
      </c>
      <c r="G9" s="3">
        <f t="shared" si="22"/>
        <v>20062.16</v>
      </c>
      <c r="H9" s="3">
        <f t="shared" si="0"/>
        <v>24019.89</v>
      </c>
      <c r="I9" s="3">
        <f t="shared" si="1"/>
        <v>1834.52</v>
      </c>
      <c r="J9" s="4">
        <v>0.17920000000000003</v>
      </c>
      <c r="L9" s="3">
        <f t="shared" si="23"/>
        <v>30093.24</v>
      </c>
      <c r="M9" s="3">
        <f t="shared" si="2"/>
        <v>36029.839999999997</v>
      </c>
      <c r="N9" s="3">
        <f t="shared" si="3"/>
        <v>2751.7799999999997</v>
      </c>
      <c r="O9" s="4">
        <v>0.17920000000000003</v>
      </c>
      <c r="Q9" s="3">
        <f t="shared" si="24"/>
        <v>40124.32</v>
      </c>
      <c r="R9" s="3">
        <f t="shared" si="4"/>
        <v>48039.79</v>
      </c>
      <c r="S9" s="3">
        <f t="shared" si="5"/>
        <v>3669.04</v>
      </c>
      <c r="T9" s="4">
        <v>0.17920000000000003</v>
      </c>
      <c r="V9" s="3">
        <f t="shared" si="25"/>
        <v>50155.4</v>
      </c>
      <c r="W9" s="3">
        <f t="shared" si="6"/>
        <v>60049.74</v>
      </c>
      <c r="X9" s="3">
        <f t="shared" si="7"/>
        <v>4586.3</v>
      </c>
      <c r="Y9" s="4">
        <v>0.17920000000000003</v>
      </c>
      <c r="AA9" s="3">
        <f t="shared" si="26"/>
        <v>60186.48</v>
      </c>
      <c r="AB9" s="3">
        <f t="shared" si="8"/>
        <v>72059.69</v>
      </c>
      <c r="AC9" s="3">
        <f t="shared" si="9"/>
        <v>5503.5599999999995</v>
      </c>
      <c r="AD9" s="4">
        <v>0.17920000000000003</v>
      </c>
      <c r="AF9" s="3">
        <f t="shared" si="27"/>
        <v>70217.56</v>
      </c>
      <c r="AG9" s="3">
        <f t="shared" si="10"/>
        <v>84069.64</v>
      </c>
      <c r="AH9" s="3">
        <f t="shared" si="11"/>
        <v>6420.82</v>
      </c>
      <c r="AI9" s="4">
        <v>0.17920000000000003</v>
      </c>
      <c r="AK9" s="3">
        <f t="shared" si="28"/>
        <v>80248.639999999999</v>
      </c>
      <c r="AL9" s="3">
        <f t="shared" si="12"/>
        <v>96079.59</v>
      </c>
      <c r="AM9" s="3">
        <f t="shared" si="13"/>
        <v>7338.08</v>
      </c>
      <c r="AN9" s="4">
        <v>0.17920000000000003</v>
      </c>
      <c r="AP9" s="3">
        <f t="shared" si="29"/>
        <v>90279.72</v>
      </c>
      <c r="AQ9" s="3">
        <f t="shared" si="14"/>
        <v>108089.54</v>
      </c>
      <c r="AR9" s="3">
        <f t="shared" si="15"/>
        <v>8255.34</v>
      </c>
      <c r="AS9" s="4">
        <v>0.17920000000000003</v>
      </c>
      <c r="AU9" s="3">
        <f t="shared" si="30"/>
        <v>100310.8</v>
      </c>
      <c r="AV9" s="3">
        <f t="shared" si="16"/>
        <v>120099.49</v>
      </c>
      <c r="AW9" s="3">
        <f t="shared" si="17"/>
        <v>9172.6</v>
      </c>
      <c r="AX9" s="4">
        <v>0.17920000000000003</v>
      </c>
      <c r="AZ9" s="3">
        <f t="shared" si="31"/>
        <v>110341.88</v>
      </c>
      <c r="BA9" s="3">
        <f t="shared" si="18"/>
        <v>132109.44</v>
      </c>
      <c r="BB9" s="3">
        <f t="shared" si="19"/>
        <v>10089.86</v>
      </c>
      <c r="BC9" s="4">
        <v>0.17920000000000003</v>
      </c>
      <c r="BE9" s="3">
        <f t="shared" si="32"/>
        <v>120372.96</v>
      </c>
      <c r="BF9" s="3">
        <f t="shared" si="20"/>
        <v>144119.39000000001</v>
      </c>
      <c r="BG9" s="3">
        <f t="shared" si="21"/>
        <v>11007.119999999999</v>
      </c>
      <c r="BH9" s="4">
        <v>0.17920000000000003</v>
      </c>
    </row>
    <row r="10" spans="2:60">
      <c r="B10" s="5">
        <v>12009.95</v>
      </c>
      <c r="C10" s="5">
        <v>24222.31</v>
      </c>
      <c r="D10" s="5">
        <v>1271.8699999999999</v>
      </c>
      <c r="E10" s="6">
        <v>0.21359999999999998</v>
      </c>
      <c r="G10" s="5">
        <f t="shared" si="22"/>
        <v>24019.9</v>
      </c>
      <c r="H10" s="5">
        <f t="shared" si="0"/>
        <v>48444.63</v>
      </c>
      <c r="I10" s="5">
        <f t="shared" si="1"/>
        <v>2543.7399999999998</v>
      </c>
      <c r="J10" s="6">
        <v>0.21359999999999998</v>
      </c>
      <c r="L10" s="5">
        <f t="shared" si="23"/>
        <v>36029.85</v>
      </c>
      <c r="M10" s="5">
        <f t="shared" si="2"/>
        <v>72666.95</v>
      </c>
      <c r="N10" s="5">
        <f t="shared" si="3"/>
        <v>3815.6099999999997</v>
      </c>
      <c r="O10" s="6">
        <v>0.21359999999999998</v>
      </c>
      <c r="Q10" s="5">
        <f t="shared" si="24"/>
        <v>48039.8</v>
      </c>
      <c r="R10" s="5">
        <f t="shared" si="4"/>
        <v>96889.27</v>
      </c>
      <c r="S10" s="5">
        <f t="shared" si="5"/>
        <v>5087.4799999999996</v>
      </c>
      <c r="T10" s="6">
        <v>0.21359999999999998</v>
      </c>
      <c r="V10" s="5">
        <f t="shared" si="25"/>
        <v>60049.75</v>
      </c>
      <c r="W10" s="5">
        <f t="shared" si="6"/>
        <v>121111.59</v>
      </c>
      <c r="X10" s="5">
        <f t="shared" si="7"/>
        <v>6359.3499999999995</v>
      </c>
      <c r="Y10" s="6">
        <v>0.21359999999999998</v>
      </c>
      <c r="AA10" s="5">
        <f t="shared" si="26"/>
        <v>72059.7</v>
      </c>
      <c r="AB10" s="5">
        <f t="shared" si="8"/>
        <v>145333.91</v>
      </c>
      <c r="AC10" s="5">
        <f t="shared" si="9"/>
        <v>7631.2199999999993</v>
      </c>
      <c r="AD10" s="6">
        <v>0.21359999999999998</v>
      </c>
      <c r="AF10" s="5">
        <f t="shared" si="27"/>
        <v>84069.65</v>
      </c>
      <c r="AG10" s="5">
        <f t="shared" si="10"/>
        <v>169556.23</v>
      </c>
      <c r="AH10" s="5">
        <f t="shared" si="11"/>
        <v>8903.09</v>
      </c>
      <c r="AI10" s="6">
        <v>0.21359999999999998</v>
      </c>
      <c r="AK10" s="5">
        <f t="shared" si="28"/>
        <v>96079.6</v>
      </c>
      <c r="AL10" s="5">
        <f t="shared" si="12"/>
        <v>193778.55</v>
      </c>
      <c r="AM10" s="5">
        <f t="shared" si="13"/>
        <v>10174.959999999999</v>
      </c>
      <c r="AN10" s="6">
        <v>0.21359999999999998</v>
      </c>
      <c r="AP10" s="5">
        <f t="shared" si="29"/>
        <v>108089.55</v>
      </c>
      <c r="AQ10" s="5">
        <f t="shared" si="14"/>
        <v>218000.87</v>
      </c>
      <c r="AR10" s="5">
        <f t="shared" si="15"/>
        <v>11446.829999999998</v>
      </c>
      <c r="AS10" s="6">
        <v>0.21359999999999998</v>
      </c>
      <c r="AU10" s="5">
        <f t="shared" si="30"/>
        <v>120099.5</v>
      </c>
      <c r="AV10" s="5">
        <f t="shared" si="16"/>
        <v>242223.19</v>
      </c>
      <c r="AW10" s="5">
        <f t="shared" si="17"/>
        <v>12718.699999999999</v>
      </c>
      <c r="AX10" s="6">
        <v>0.21359999999999998</v>
      </c>
      <c r="AZ10" s="5">
        <f t="shared" si="31"/>
        <v>132109.45000000001</v>
      </c>
      <c r="BA10" s="5">
        <f t="shared" si="18"/>
        <v>266445.51</v>
      </c>
      <c r="BB10" s="5">
        <f t="shared" si="19"/>
        <v>13990.57</v>
      </c>
      <c r="BC10" s="6">
        <v>0.21359999999999998</v>
      </c>
      <c r="BE10" s="5">
        <f t="shared" si="32"/>
        <v>144119.4</v>
      </c>
      <c r="BF10" s="5">
        <f t="shared" si="20"/>
        <v>290667.83</v>
      </c>
      <c r="BG10" s="5">
        <f t="shared" si="21"/>
        <v>15262.439999999999</v>
      </c>
      <c r="BH10" s="6">
        <v>0.21359999999999998</v>
      </c>
    </row>
    <row r="11" spans="2:60">
      <c r="B11" s="3">
        <v>24222.32</v>
      </c>
      <c r="C11" s="3">
        <v>38177.69</v>
      </c>
      <c r="D11" s="3">
        <v>3880.44</v>
      </c>
      <c r="E11" s="4">
        <v>0.23519999999999999</v>
      </c>
      <c r="G11" s="3">
        <f t="shared" si="22"/>
        <v>48444.639999999999</v>
      </c>
      <c r="H11" s="3">
        <f t="shared" si="0"/>
        <v>76355.39</v>
      </c>
      <c r="I11" s="3">
        <f t="shared" si="1"/>
        <v>7760.88</v>
      </c>
      <c r="J11" s="4">
        <v>0.23519999999999999</v>
      </c>
      <c r="L11" s="3">
        <f t="shared" si="23"/>
        <v>72666.960000000006</v>
      </c>
      <c r="M11" s="3">
        <f t="shared" si="2"/>
        <v>114533.09</v>
      </c>
      <c r="N11" s="3">
        <f t="shared" si="3"/>
        <v>11641.32</v>
      </c>
      <c r="O11" s="4">
        <v>0.23519999999999999</v>
      </c>
      <c r="Q11" s="3">
        <f t="shared" si="24"/>
        <v>96889.279999999999</v>
      </c>
      <c r="R11" s="3">
        <f t="shared" si="4"/>
        <v>152710.79</v>
      </c>
      <c r="S11" s="3">
        <f t="shared" si="5"/>
        <v>15521.76</v>
      </c>
      <c r="T11" s="4">
        <v>0.23519999999999999</v>
      </c>
      <c r="V11" s="3">
        <f t="shared" si="25"/>
        <v>121111.6</v>
      </c>
      <c r="W11" s="3">
        <f t="shared" si="6"/>
        <v>190888.49</v>
      </c>
      <c r="X11" s="3">
        <f t="shared" si="7"/>
        <v>19402.2</v>
      </c>
      <c r="Y11" s="4">
        <v>0.23519999999999999</v>
      </c>
      <c r="AA11" s="3">
        <f t="shared" si="26"/>
        <v>145333.92000000001</v>
      </c>
      <c r="AB11" s="3">
        <f t="shared" si="8"/>
        <v>229066.19</v>
      </c>
      <c r="AC11" s="3">
        <f t="shared" si="9"/>
        <v>23282.639999999999</v>
      </c>
      <c r="AD11" s="4">
        <v>0.23519999999999999</v>
      </c>
      <c r="AF11" s="3">
        <f t="shared" si="27"/>
        <v>169556.24</v>
      </c>
      <c r="AG11" s="3">
        <f t="shared" si="10"/>
        <v>267243.89</v>
      </c>
      <c r="AH11" s="3">
        <f t="shared" si="11"/>
        <v>27163.08</v>
      </c>
      <c r="AI11" s="4">
        <v>0.23519999999999999</v>
      </c>
      <c r="AK11" s="3">
        <f t="shared" si="28"/>
        <v>193778.56</v>
      </c>
      <c r="AL11" s="3">
        <f t="shared" si="12"/>
        <v>305421.59000000003</v>
      </c>
      <c r="AM11" s="3">
        <f t="shared" si="13"/>
        <v>31043.52</v>
      </c>
      <c r="AN11" s="4">
        <v>0.23519999999999999</v>
      </c>
      <c r="AP11" s="3">
        <f t="shared" si="29"/>
        <v>218000.88</v>
      </c>
      <c r="AQ11" s="3">
        <f t="shared" si="14"/>
        <v>343599.29</v>
      </c>
      <c r="AR11" s="3">
        <f t="shared" si="15"/>
        <v>34923.96</v>
      </c>
      <c r="AS11" s="4">
        <v>0.23519999999999999</v>
      </c>
      <c r="AU11" s="3">
        <f t="shared" si="30"/>
        <v>242223.2</v>
      </c>
      <c r="AV11" s="3">
        <f t="shared" si="16"/>
        <v>381776.99</v>
      </c>
      <c r="AW11" s="3">
        <f t="shared" si="17"/>
        <v>38804.400000000001</v>
      </c>
      <c r="AX11" s="4">
        <v>0.23519999999999999</v>
      </c>
      <c r="AZ11" s="3">
        <f t="shared" si="31"/>
        <v>266445.52</v>
      </c>
      <c r="BA11" s="3">
        <f t="shared" si="18"/>
        <v>419954.69</v>
      </c>
      <c r="BB11" s="3">
        <f t="shared" si="19"/>
        <v>42684.840000000004</v>
      </c>
      <c r="BC11" s="4">
        <v>0.23519999999999999</v>
      </c>
      <c r="BE11" s="3">
        <f t="shared" si="32"/>
        <v>290667.84000000003</v>
      </c>
      <c r="BF11" s="3">
        <f t="shared" si="20"/>
        <v>458132.39</v>
      </c>
      <c r="BG11" s="3">
        <f t="shared" si="21"/>
        <v>46565.279999999999</v>
      </c>
      <c r="BH11" s="4">
        <v>0.23519999999999999</v>
      </c>
    </row>
    <row r="12" spans="2:60">
      <c r="B12" s="5">
        <v>38177.699999999997</v>
      </c>
      <c r="C12" s="5">
        <v>72887.5</v>
      </c>
      <c r="D12" s="5">
        <v>7162.74</v>
      </c>
      <c r="E12" s="6">
        <v>0.3</v>
      </c>
      <c r="G12" s="5">
        <f t="shared" si="22"/>
        <v>76355.399999999994</v>
      </c>
      <c r="H12" s="5">
        <f t="shared" si="0"/>
        <v>145775.01</v>
      </c>
      <c r="I12" s="5">
        <f t="shared" si="1"/>
        <v>14325.48</v>
      </c>
      <c r="J12" s="6">
        <v>0.3</v>
      </c>
      <c r="L12" s="5">
        <f t="shared" si="23"/>
        <v>114533.1</v>
      </c>
      <c r="M12" s="5">
        <f t="shared" si="2"/>
        <v>218662.52</v>
      </c>
      <c r="N12" s="5">
        <f t="shared" si="3"/>
        <v>21488.22</v>
      </c>
      <c r="O12" s="6">
        <v>0.3</v>
      </c>
      <c r="Q12" s="5">
        <f t="shared" si="24"/>
        <v>152710.79999999999</v>
      </c>
      <c r="R12" s="5">
        <f t="shared" si="4"/>
        <v>291550.03000000003</v>
      </c>
      <c r="S12" s="5">
        <f t="shared" si="5"/>
        <v>28650.959999999999</v>
      </c>
      <c r="T12" s="6">
        <v>0.3</v>
      </c>
      <c r="V12" s="5">
        <f t="shared" si="25"/>
        <v>190888.5</v>
      </c>
      <c r="W12" s="5">
        <f t="shared" si="6"/>
        <v>364437.54</v>
      </c>
      <c r="X12" s="5">
        <f t="shared" si="7"/>
        <v>35813.699999999997</v>
      </c>
      <c r="Y12" s="6">
        <v>0.3</v>
      </c>
      <c r="AA12" s="5">
        <f t="shared" si="26"/>
        <v>229066.2</v>
      </c>
      <c r="AB12" s="5">
        <f t="shared" si="8"/>
        <v>437325.05</v>
      </c>
      <c r="AC12" s="5">
        <f t="shared" si="9"/>
        <v>42976.44</v>
      </c>
      <c r="AD12" s="6">
        <v>0.3</v>
      </c>
      <c r="AF12" s="5">
        <f t="shared" si="27"/>
        <v>267243.90000000002</v>
      </c>
      <c r="AG12" s="5">
        <f t="shared" si="10"/>
        <v>510212.56</v>
      </c>
      <c r="AH12" s="5">
        <f t="shared" si="11"/>
        <v>50139.18</v>
      </c>
      <c r="AI12" s="6">
        <v>0.3</v>
      </c>
      <c r="AK12" s="5">
        <f t="shared" si="28"/>
        <v>305421.59999999998</v>
      </c>
      <c r="AL12" s="5">
        <f t="shared" si="12"/>
        <v>583100.06999999995</v>
      </c>
      <c r="AM12" s="5">
        <f t="shared" si="13"/>
        <v>57301.919999999998</v>
      </c>
      <c r="AN12" s="6">
        <v>0.3</v>
      </c>
      <c r="AP12" s="5">
        <f t="shared" si="29"/>
        <v>343599.3</v>
      </c>
      <c r="AQ12" s="5">
        <f t="shared" si="14"/>
        <v>655987.57999999996</v>
      </c>
      <c r="AR12" s="5">
        <f t="shared" si="15"/>
        <v>64464.659999999996</v>
      </c>
      <c r="AS12" s="6">
        <v>0.3</v>
      </c>
      <c r="AU12" s="5">
        <f t="shared" si="30"/>
        <v>381777</v>
      </c>
      <c r="AV12" s="5">
        <f t="shared" si="16"/>
        <v>728875.09</v>
      </c>
      <c r="AW12" s="5">
        <f t="shared" si="17"/>
        <v>71627.399999999994</v>
      </c>
      <c r="AX12" s="6">
        <v>0.3</v>
      </c>
      <c r="AZ12" s="5">
        <f t="shared" si="31"/>
        <v>419954.7</v>
      </c>
      <c r="BA12" s="5">
        <f t="shared" si="18"/>
        <v>801762.6</v>
      </c>
      <c r="BB12" s="5">
        <f t="shared" si="19"/>
        <v>78790.14</v>
      </c>
      <c r="BC12" s="6">
        <v>0.3</v>
      </c>
      <c r="BE12" s="5">
        <f t="shared" si="32"/>
        <v>458132.4</v>
      </c>
      <c r="BF12" s="5">
        <f t="shared" si="20"/>
        <v>874650.11</v>
      </c>
      <c r="BG12" s="5">
        <f t="shared" si="21"/>
        <v>85952.88</v>
      </c>
      <c r="BH12" s="6">
        <v>0.3</v>
      </c>
    </row>
    <row r="13" spans="2:60">
      <c r="B13" s="3">
        <v>72887.509999999995</v>
      </c>
      <c r="C13" s="3">
        <v>97183.33</v>
      </c>
      <c r="D13" s="3">
        <v>17575.689999999999</v>
      </c>
      <c r="E13" s="4">
        <v>0.32</v>
      </c>
      <c r="G13" s="3">
        <f t="shared" si="22"/>
        <v>145775.01999999999</v>
      </c>
      <c r="H13" s="3">
        <f t="shared" si="0"/>
        <v>194366.67</v>
      </c>
      <c r="I13" s="3">
        <f t="shared" si="1"/>
        <v>35151.379999999997</v>
      </c>
      <c r="J13" s="4">
        <v>0.32</v>
      </c>
      <c r="L13" s="3">
        <f t="shared" si="23"/>
        <v>218662.53</v>
      </c>
      <c r="M13" s="3">
        <f t="shared" si="2"/>
        <v>291550.01</v>
      </c>
      <c r="N13" s="3">
        <f t="shared" si="3"/>
        <v>52727.069999999992</v>
      </c>
      <c r="O13" s="4">
        <v>0.32</v>
      </c>
      <c r="Q13" s="3">
        <f t="shared" si="24"/>
        <v>291550.03999999998</v>
      </c>
      <c r="R13" s="3">
        <f t="shared" si="4"/>
        <v>388733.35</v>
      </c>
      <c r="S13" s="3">
        <f t="shared" si="5"/>
        <v>70302.759999999995</v>
      </c>
      <c r="T13" s="4">
        <v>0.32</v>
      </c>
      <c r="V13" s="3">
        <f t="shared" si="25"/>
        <v>364437.55</v>
      </c>
      <c r="W13" s="3">
        <f t="shared" si="6"/>
        <v>485916.69</v>
      </c>
      <c r="X13" s="3">
        <f t="shared" si="7"/>
        <v>87878.45</v>
      </c>
      <c r="Y13" s="4">
        <v>0.32</v>
      </c>
      <c r="AA13" s="3">
        <f t="shared" si="26"/>
        <v>437325.06</v>
      </c>
      <c r="AB13" s="3">
        <f t="shared" si="8"/>
        <v>583100.03</v>
      </c>
      <c r="AC13" s="3">
        <f t="shared" si="9"/>
        <v>105454.13999999998</v>
      </c>
      <c r="AD13" s="4">
        <v>0.32</v>
      </c>
      <c r="AF13" s="3">
        <f t="shared" si="27"/>
        <v>510212.57</v>
      </c>
      <c r="AG13" s="3">
        <f t="shared" si="10"/>
        <v>680283.37</v>
      </c>
      <c r="AH13" s="3">
        <f t="shared" si="11"/>
        <v>123029.82999999999</v>
      </c>
      <c r="AI13" s="4">
        <v>0.32</v>
      </c>
      <c r="AK13" s="3">
        <f t="shared" si="28"/>
        <v>583100.07999999996</v>
      </c>
      <c r="AL13" s="3">
        <f t="shared" si="12"/>
        <v>777466.71</v>
      </c>
      <c r="AM13" s="3">
        <f t="shared" si="13"/>
        <v>140605.51999999999</v>
      </c>
      <c r="AN13" s="4">
        <v>0.32</v>
      </c>
      <c r="AP13" s="3">
        <f t="shared" si="29"/>
        <v>655987.59</v>
      </c>
      <c r="AQ13" s="3">
        <f t="shared" si="14"/>
        <v>874650.05</v>
      </c>
      <c r="AR13" s="3">
        <f t="shared" si="15"/>
        <v>158181.21</v>
      </c>
      <c r="AS13" s="4">
        <v>0.32</v>
      </c>
      <c r="AU13" s="3">
        <f t="shared" si="30"/>
        <v>728875.1</v>
      </c>
      <c r="AV13" s="3">
        <f t="shared" si="16"/>
        <v>971833.39</v>
      </c>
      <c r="AW13" s="3">
        <f t="shared" si="17"/>
        <v>175756.9</v>
      </c>
      <c r="AX13" s="4">
        <v>0.32</v>
      </c>
      <c r="AZ13" s="3">
        <f t="shared" si="31"/>
        <v>801762.61</v>
      </c>
      <c r="BA13" s="3">
        <f t="shared" si="18"/>
        <v>1069016.73</v>
      </c>
      <c r="BB13" s="3">
        <f t="shared" si="19"/>
        <v>193332.59</v>
      </c>
      <c r="BC13" s="4">
        <v>0.32</v>
      </c>
      <c r="BE13" s="3">
        <f t="shared" si="32"/>
        <v>874650.12</v>
      </c>
      <c r="BF13" s="3">
        <f t="shared" si="20"/>
        <v>1166200.07</v>
      </c>
      <c r="BG13" s="3">
        <f t="shared" si="21"/>
        <v>210908.27999999997</v>
      </c>
      <c r="BH13" s="4">
        <v>0.32</v>
      </c>
    </row>
    <row r="14" spans="2:60">
      <c r="B14" s="5">
        <v>97183.34</v>
      </c>
      <c r="C14" s="5">
        <v>291550</v>
      </c>
      <c r="D14" s="5">
        <v>25350.35</v>
      </c>
      <c r="E14" s="6">
        <v>0.34</v>
      </c>
      <c r="G14" s="5">
        <f t="shared" si="22"/>
        <v>194366.68</v>
      </c>
      <c r="H14" s="5">
        <f t="shared" si="0"/>
        <v>583100.01</v>
      </c>
      <c r="I14" s="5">
        <f t="shared" si="1"/>
        <v>50700.7</v>
      </c>
      <c r="J14" s="6">
        <v>0.34</v>
      </c>
      <c r="L14" s="5">
        <f t="shared" si="23"/>
        <v>291550.02</v>
      </c>
      <c r="M14" s="5">
        <f t="shared" si="2"/>
        <v>874650.02</v>
      </c>
      <c r="N14" s="5">
        <f t="shared" si="3"/>
        <v>76051.049999999988</v>
      </c>
      <c r="O14" s="6">
        <v>0.34</v>
      </c>
      <c r="Q14" s="5">
        <f t="shared" si="24"/>
        <v>388733.36</v>
      </c>
      <c r="R14" s="5">
        <f t="shared" si="4"/>
        <v>1166200.03</v>
      </c>
      <c r="S14" s="5">
        <f t="shared" si="5"/>
        <v>101401.4</v>
      </c>
      <c r="T14" s="6">
        <v>0.34</v>
      </c>
      <c r="V14" s="5">
        <f t="shared" si="25"/>
        <v>485916.7</v>
      </c>
      <c r="W14" s="5">
        <f t="shared" si="6"/>
        <v>1457750.04</v>
      </c>
      <c r="X14" s="5">
        <f t="shared" si="7"/>
        <v>126751.75</v>
      </c>
      <c r="Y14" s="6">
        <v>0.34</v>
      </c>
      <c r="AA14" s="5">
        <f t="shared" si="26"/>
        <v>583100.04</v>
      </c>
      <c r="AB14" s="5">
        <f t="shared" si="8"/>
        <v>1749300.05</v>
      </c>
      <c r="AC14" s="5">
        <f t="shared" si="9"/>
        <v>152102.09999999998</v>
      </c>
      <c r="AD14" s="6">
        <v>0.34</v>
      </c>
      <c r="AF14" s="5">
        <f t="shared" si="27"/>
        <v>680283.38</v>
      </c>
      <c r="AG14" s="5">
        <f t="shared" si="10"/>
        <v>2040850.06</v>
      </c>
      <c r="AH14" s="5">
        <f t="shared" si="11"/>
        <v>177452.44999999998</v>
      </c>
      <c r="AI14" s="6">
        <v>0.34</v>
      </c>
      <c r="AK14" s="5">
        <f t="shared" si="28"/>
        <v>777466.72</v>
      </c>
      <c r="AL14" s="5">
        <f t="shared" si="12"/>
        <v>2332400.0699999998</v>
      </c>
      <c r="AM14" s="5">
        <f t="shared" si="13"/>
        <v>202802.8</v>
      </c>
      <c r="AN14" s="6">
        <v>0.34</v>
      </c>
      <c r="AP14" s="5">
        <f t="shared" si="29"/>
        <v>874650.06</v>
      </c>
      <c r="AQ14" s="5">
        <f t="shared" si="14"/>
        <v>2623950.08</v>
      </c>
      <c r="AR14" s="5">
        <f t="shared" si="15"/>
        <v>228153.15</v>
      </c>
      <c r="AS14" s="6">
        <v>0.34</v>
      </c>
      <c r="AU14" s="5">
        <f t="shared" si="30"/>
        <v>971833.4</v>
      </c>
      <c r="AV14" s="5">
        <f t="shared" si="16"/>
        <v>2915500.09</v>
      </c>
      <c r="AW14" s="5">
        <f t="shared" si="17"/>
        <v>253503.5</v>
      </c>
      <c r="AX14" s="6">
        <v>0.34</v>
      </c>
      <c r="AZ14" s="5">
        <f t="shared" si="31"/>
        <v>1069016.74</v>
      </c>
      <c r="BA14" s="5">
        <f t="shared" si="18"/>
        <v>3207050.1</v>
      </c>
      <c r="BB14" s="5">
        <f t="shared" si="19"/>
        <v>278853.84999999998</v>
      </c>
      <c r="BC14" s="6">
        <v>0.34</v>
      </c>
      <c r="BE14" s="5">
        <f t="shared" si="32"/>
        <v>1166200.08</v>
      </c>
      <c r="BF14" s="5">
        <f t="shared" si="20"/>
        <v>3498600.11</v>
      </c>
      <c r="BG14" s="5">
        <f t="shared" si="21"/>
        <v>304204.19999999995</v>
      </c>
      <c r="BH14" s="6">
        <v>0.34</v>
      </c>
    </row>
    <row r="15" spans="2:60">
      <c r="B15" s="3">
        <v>291550.01</v>
      </c>
      <c r="C15" s="3" t="s">
        <v>5</v>
      </c>
      <c r="D15" s="3">
        <v>91435.02</v>
      </c>
      <c r="E15" s="4">
        <v>0.35</v>
      </c>
      <c r="G15" s="3">
        <f t="shared" si="22"/>
        <v>583100.02</v>
      </c>
      <c r="H15" s="3" t="s">
        <v>5</v>
      </c>
      <c r="I15" s="3">
        <f t="shared" si="1"/>
        <v>182870.04</v>
      </c>
      <c r="J15" s="4">
        <v>0.35</v>
      </c>
      <c r="L15" s="3">
        <f t="shared" si="23"/>
        <v>874650.03</v>
      </c>
      <c r="M15" s="3" t="s">
        <v>5</v>
      </c>
      <c r="N15" s="3">
        <f t="shared" si="3"/>
        <v>274305.06</v>
      </c>
      <c r="O15" s="4">
        <v>0.35</v>
      </c>
      <c r="Q15" s="3">
        <f t="shared" si="24"/>
        <v>1166200.04</v>
      </c>
      <c r="R15" s="3" t="s">
        <v>5</v>
      </c>
      <c r="S15" s="3">
        <f t="shared" si="5"/>
        <v>365740.08</v>
      </c>
      <c r="T15" s="4">
        <v>0.35</v>
      </c>
      <c r="V15" s="3">
        <f t="shared" si="25"/>
        <v>1457750.05</v>
      </c>
      <c r="W15" s="3" t="s">
        <v>5</v>
      </c>
      <c r="X15" s="3">
        <f t="shared" si="7"/>
        <v>457175.10000000003</v>
      </c>
      <c r="Y15" s="4">
        <v>0.35</v>
      </c>
      <c r="AA15" s="3">
        <f t="shared" si="26"/>
        <v>1749300.06</v>
      </c>
      <c r="AB15" s="3" t="s">
        <v>5</v>
      </c>
      <c r="AC15" s="3">
        <f t="shared" si="9"/>
        <v>548610.12</v>
      </c>
      <c r="AD15" s="4">
        <v>0.35</v>
      </c>
      <c r="AF15" s="3">
        <f t="shared" si="27"/>
        <v>2040850.07</v>
      </c>
      <c r="AG15" s="3" t="s">
        <v>5</v>
      </c>
      <c r="AH15" s="3">
        <f t="shared" si="11"/>
        <v>640045.14</v>
      </c>
      <c r="AI15" s="4">
        <v>0.35</v>
      </c>
      <c r="AK15" s="3">
        <f t="shared" si="28"/>
        <v>2332400.08</v>
      </c>
      <c r="AL15" s="3" t="s">
        <v>5</v>
      </c>
      <c r="AM15" s="3">
        <f t="shared" si="13"/>
        <v>731480.16</v>
      </c>
      <c r="AN15" s="4">
        <v>0.35</v>
      </c>
      <c r="AP15" s="3">
        <f t="shared" si="29"/>
        <v>2623950.09</v>
      </c>
      <c r="AQ15" s="3" t="s">
        <v>5</v>
      </c>
      <c r="AR15" s="3">
        <f t="shared" si="15"/>
        <v>822915.18</v>
      </c>
      <c r="AS15" s="4">
        <v>0.35</v>
      </c>
      <c r="AU15" s="3">
        <f t="shared" si="30"/>
        <v>2915500.1</v>
      </c>
      <c r="AV15" s="3" t="s">
        <v>5</v>
      </c>
      <c r="AW15" s="3">
        <f t="shared" si="17"/>
        <v>914350.20000000007</v>
      </c>
      <c r="AX15" s="4">
        <v>0.35</v>
      </c>
      <c r="AZ15" s="3">
        <f t="shared" si="31"/>
        <v>3207050.11</v>
      </c>
      <c r="BA15" s="3" t="s">
        <v>5</v>
      </c>
      <c r="BB15" s="3">
        <f t="shared" si="19"/>
        <v>1005785.2200000001</v>
      </c>
      <c r="BC15" s="4">
        <v>0.35</v>
      </c>
      <c r="BE15" s="3">
        <f t="shared" si="32"/>
        <v>3498600.12</v>
      </c>
      <c r="BF15" s="3" t="s">
        <v>5</v>
      </c>
      <c r="BG15" s="3">
        <f t="shared" si="21"/>
        <v>1097220.24</v>
      </c>
      <c r="BH15" s="4">
        <v>0.35</v>
      </c>
    </row>
    <row r="16" spans="2:60">
      <c r="BE16" s="7"/>
      <c r="BG16" s="7"/>
    </row>
    <row r="17" spans="2:5">
      <c r="B17" s="8" t="s">
        <v>6</v>
      </c>
      <c r="C17" s="8"/>
      <c r="D17" s="8"/>
      <c r="E17" s="8"/>
    </row>
    <row r="18" spans="2:5" ht="50">
      <c r="B18" s="9" t="s">
        <v>1</v>
      </c>
      <c r="C18" s="9" t="s">
        <v>2</v>
      </c>
      <c r="D18" s="9" t="s">
        <v>3</v>
      </c>
      <c r="E18" s="9" t="s">
        <v>4</v>
      </c>
    </row>
    <row r="19" spans="2:5">
      <c r="B19" s="10">
        <v>0.01</v>
      </c>
      <c r="C19" s="10">
        <v>6942.2</v>
      </c>
      <c r="D19" s="10">
        <v>0</v>
      </c>
      <c r="E19" s="11">
        <v>1.9199999999999998E-2</v>
      </c>
    </row>
    <row r="20" spans="2:5">
      <c r="B20" s="12">
        <v>6942.21</v>
      </c>
      <c r="C20" s="12">
        <v>58922.16</v>
      </c>
      <c r="D20" s="12">
        <v>133.28</v>
      </c>
      <c r="E20" s="13">
        <v>6.4000000000000001E-2</v>
      </c>
    </row>
    <row r="21" spans="2:5">
      <c r="B21" s="10">
        <v>58922.17</v>
      </c>
      <c r="C21" s="10">
        <v>103550.44</v>
      </c>
      <c r="D21" s="10">
        <v>3460.01</v>
      </c>
      <c r="E21" s="11">
        <v>0.10880000000000001</v>
      </c>
    </row>
    <row r="22" spans="2:5">
      <c r="B22" s="12">
        <v>103550.45</v>
      </c>
      <c r="C22" s="12">
        <v>120372.83</v>
      </c>
      <c r="D22" s="12">
        <v>8315.57</v>
      </c>
      <c r="E22" s="13">
        <v>0.16</v>
      </c>
    </row>
    <row r="23" spans="2:5">
      <c r="B23" s="10">
        <v>120372.84</v>
      </c>
      <c r="C23" s="10">
        <v>144119.23000000001</v>
      </c>
      <c r="D23" s="10">
        <v>11007.14</v>
      </c>
      <c r="E23" s="11">
        <v>0.17920000000000003</v>
      </c>
    </row>
    <row r="24" spans="2:5">
      <c r="B24" s="12">
        <v>144119.24</v>
      </c>
      <c r="C24" s="12">
        <v>290667.75</v>
      </c>
      <c r="D24" s="12">
        <v>15262.49</v>
      </c>
      <c r="E24" s="13">
        <v>0.21359999999999998</v>
      </c>
    </row>
    <row r="25" spans="2:5">
      <c r="B25" s="10">
        <v>290667.76</v>
      </c>
      <c r="C25" s="10">
        <v>458132.29</v>
      </c>
      <c r="D25" s="10">
        <v>46565.26</v>
      </c>
      <c r="E25" s="11">
        <v>0.23519999999999999</v>
      </c>
    </row>
    <row r="26" spans="2:5">
      <c r="B26" s="12">
        <v>458132.3</v>
      </c>
      <c r="C26" s="12">
        <v>874650</v>
      </c>
      <c r="D26" s="12">
        <v>85952.92</v>
      </c>
      <c r="E26" s="13">
        <v>0.3</v>
      </c>
    </row>
    <row r="27" spans="2:5">
      <c r="B27" s="10">
        <v>874650.01</v>
      </c>
      <c r="C27" s="10">
        <v>1166200</v>
      </c>
      <c r="D27" s="10">
        <v>210908.23</v>
      </c>
      <c r="E27" s="11">
        <v>0.32</v>
      </c>
    </row>
    <row r="28" spans="2:5">
      <c r="B28" s="12">
        <v>1166200.01</v>
      </c>
      <c r="C28" s="12">
        <v>3498600</v>
      </c>
      <c r="D28" s="12">
        <v>304204.21000000002</v>
      </c>
      <c r="E28" s="13">
        <v>0.34</v>
      </c>
    </row>
    <row r="29" spans="2:5">
      <c r="B29" s="10">
        <v>3498600.01</v>
      </c>
      <c r="C29" s="10" t="s">
        <v>5</v>
      </c>
      <c r="D29" s="10">
        <v>1097220.21</v>
      </c>
      <c r="E29" s="11">
        <v>0.35</v>
      </c>
    </row>
  </sheetData>
  <mergeCells count="25">
    <mergeCell ref="AU2:AX2"/>
    <mergeCell ref="AZ2:BC2"/>
    <mergeCell ref="BE2:BH2"/>
    <mergeCell ref="AU3:AX3"/>
    <mergeCell ref="AZ3:BC3"/>
    <mergeCell ref="BE3:BH3"/>
    <mergeCell ref="AK2:AN2"/>
    <mergeCell ref="AP2:AS2"/>
    <mergeCell ref="AA3:AD3"/>
    <mergeCell ref="AF3:AI3"/>
    <mergeCell ref="AK3:AN3"/>
    <mergeCell ref="AP3:AS3"/>
    <mergeCell ref="Q2:T2"/>
    <mergeCell ref="Q3:T3"/>
    <mergeCell ref="V2:Y2"/>
    <mergeCell ref="V3:Y3"/>
    <mergeCell ref="AA2:AD2"/>
    <mergeCell ref="AF2:AI2"/>
    <mergeCell ref="B3:E3"/>
    <mergeCell ref="B17:E17"/>
    <mergeCell ref="B2:E2"/>
    <mergeCell ref="G2:J2"/>
    <mergeCell ref="G3:J3"/>
    <mergeCell ref="L2:O2"/>
    <mergeCell ref="L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44CB-CA68-4973-8F27-EB9852EBB93E}">
  <dimension ref="B2:O31"/>
  <sheetViews>
    <sheetView topLeftCell="A2" zoomScale="98" zoomScaleNormal="98" workbookViewId="0">
      <pane xSplit="2" ySplit="4" topLeftCell="D13" activePane="bottomRight" state="frozen"/>
      <selection activeCell="A2" sqref="A2"/>
      <selection pane="topRight" activeCell="C2" sqref="C2"/>
      <selection pane="bottomLeft" activeCell="A6" sqref="A6"/>
      <selection pane="bottomRight" activeCell="N14" sqref="N14:N19"/>
    </sheetView>
  </sheetViews>
  <sheetFormatPr baseColWidth="10" defaultRowHeight="13"/>
  <cols>
    <col min="1" max="1" width="7.26953125" style="19" customWidth="1"/>
    <col min="2" max="2" width="32.08984375" style="19" bestFit="1" customWidth="1"/>
    <col min="3" max="3" width="11.54296875" style="18" bestFit="1" customWidth="1"/>
    <col min="4" max="10" width="10.26953125" style="18" bestFit="1" customWidth="1"/>
    <col min="11" max="14" width="11.6328125" style="18" bestFit="1" customWidth="1"/>
    <col min="15" max="15" width="10.90625" style="18"/>
    <col min="16" max="16384" width="10.90625" style="19"/>
  </cols>
  <sheetData>
    <row r="2" spans="2:14">
      <c r="B2" s="25" t="str">
        <f>+Nombre</f>
        <v>Jaime Alberto Flores Sandoval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2:14">
      <c r="B3" s="28" t="str">
        <f>+RFC</f>
        <v>FOSJ9201278B7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2:14">
      <c r="B4" s="31" t="s">
        <v>36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4">
      <c r="B5" s="20" t="s">
        <v>23</v>
      </c>
      <c r="C5" s="21" t="s">
        <v>24</v>
      </c>
      <c r="D5" s="21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  <c r="J5" s="21" t="s">
        <v>31</v>
      </c>
      <c r="K5" s="21" t="s">
        <v>32</v>
      </c>
      <c r="L5" s="21" t="s">
        <v>33</v>
      </c>
      <c r="M5" s="21" t="s">
        <v>34</v>
      </c>
      <c r="N5" s="21" t="s">
        <v>35</v>
      </c>
    </row>
    <row r="6" spans="2:14" ht="26">
      <c r="B6" s="22" t="s">
        <v>37</v>
      </c>
      <c r="C6" s="23">
        <v>100000</v>
      </c>
      <c r="D6" s="23">
        <v>120000</v>
      </c>
      <c r="E6" s="23">
        <v>110000</v>
      </c>
      <c r="F6" s="23">
        <v>115000</v>
      </c>
      <c r="G6" s="23">
        <v>120000</v>
      </c>
      <c r="H6" s="23">
        <v>135000</v>
      </c>
      <c r="I6" s="23">
        <v>110000</v>
      </c>
      <c r="J6" s="23">
        <v>120000</v>
      </c>
      <c r="K6" s="23">
        <v>115000</v>
      </c>
      <c r="L6" s="23">
        <v>118000</v>
      </c>
      <c r="M6" s="23">
        <v>112000</v>
      </c>
      <c r="N6" s="23">
        <v>120000</v>
      </c>
    </row>
    <row r="7" spans="2:14">
      <c r="B7" s="24" t="s">
        <v>38</v>
      </c>
      <c r="C7" s="23">
        <f>+C6</f>
        <v>100000</v>
      </c>
      <c r="D7" s="23">
        <f>+D6+C7</f>
        <v>220000</v>
      </c>
      <c r="E7" s="23">
        <f t="shared" ref="E7:N7" si="0">+E6+D7</f>
        <v>330000</v>
      </c>
      <c r="F7" s="23">
        <f t="shared" si="0"/>
        <v>445000</v>
      </c>
      <c r="G7" s="23">
        <f t="shared" si="0"/>
        <v>565000</v>
      </c>
      <c r="H7" s="23">
        <f t="shared" si="0"/>
        <v>700000</v>
      </c>
      <c r="I7" s="23">
        <f t="shared" si="0"/>
        <v>810000</v>
      </c>
      <c r="J7" s="23">
        <f t="shared" si="0"/>
        <v>930000</v>
      </c>
      <c r="K7" s="23">
        <f t="shared" si="0"/>
        <v>1045000</v>
      </c>
      <c r="L7" s="23">
        <f t="shared" si="0"/>
        <v>1163000</v>
      </c>
      <c r="M7" s="23">
        <f t="shared" si="0"/>
        <v>1275000</v>
      </c>
      <c r="N7" s="23">
        <f t="shared" si="0"/>
        <v>1395000</v>
      </c>
    </row>
    <row r="8" spans="2:14">
      <c r="B8" s="22" t="s">
        <v>39</v>
      </c>
      <c r="C8" s="23">
        <v>80000</v>
      </c>
      <c r="D8" s="23">
        <v>90000</v>
      </c>
      <c r="E8" s="23">
        <v>95000</v>
      </c>
      <c r="F8" s="23">
        <v>95000</v>
      </c>
      <c r="G8" s="23">
        <v>108000</v>
      </c>
      <c r="H8" s="23">
        <v>110000</v>
      </c>
      <c r="I8" s="23">
        <v>90000</v>
      </c>
      <c r="J8" s="23">
        <v>98000</v>
      </c>
      <c r="K8" s="23">
        <v>96000</v>
      </c>
      <c r="L8" s="23">
        <v>98000</v>
      </c>
      <c r="M8" s="23">
        <v>95000</v>
      </c>
      <c r="N8" s="23">
        <v>80000</v>
      </c>
    </row>
    <row r="9" spans="2:14">
      <c r="B9" s="24" t="s">
        <v>40</v>
      </c>
      <c r="C9" s="23">
        <f>+C8</f>
        <v>80000</v>
      </c>
      <c r="D9" s="23">
        <f>+D8+C9</f>
        <v>170000</v>
      </c>
      <c r="E9" s="23">
        <f t="shared" ref="E9" si="1">+E8+D9</f>
        <v>265000</v>
      </c>
      <c r="F9" s="23">
        <f t="shared" ref="F9" si="2">+F8+E9</f>
        <v>360000</v>
      </c>
      <c r="G9" s="23">
        <f t="shared" ref="G9" si="3">+G8+F9</f>
        <v>468000</v>
      </c>
      <c r="H9" s="23">
        <f t="shared" ref="H9" si="4">+H8+G9</f>
        <v>578000</v>
      </c>
      <c r="I9" s="23">
        <f t="shared" ref="I9" si="5">+I8+H9</f>
        <v>668000</v>
      </c>
      <c r="J9" s="23">
        <f t="shared" ref="J9" si="6">+J8+I9</f>
        <v>766000</v>
      </c>
      <c r="K9" s="23">
        <f t="shared" ref="K9" si="7">+K8+J9</f>
        <v>862000</v>
      </c>
      <c r="L9" s="23">
        <f t="shared" ref="L9" si="8">+L8+K9</f>
        <v>960000</v>
      </c>
      <c r="M9" s="23">
        <f t="shared" ref="M9" si="9">+M8+L9</f>
        <v>1055000</v>
      </c>
      <c r="N9" s="23">
        <f t="shared" ref="N9" si="10">+N8+M9</f>
        <v>1135000</v>
      </c>
    </row>
    <row r="10" spans="2:14">
      <c r="B10" s="24" t="s">
        <v>41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40000</v>
      </c>
      <c r="I10" s="23">
        <v>12000</v>
      </c>
      <c r="J10" s="23">
        <v>0</v>
      </c>
      <c r="K10" s="23">
        <v>0</v>
      </c>
      <c r="L10" s="23">
        <v>0</v>
      </c>
      <c r="M10" s="23">
        <v>0</v>
      </c>
      <c r="N10" s="23"/>
    </row>
    <row r="11" spans="2:14">
      <c r="B11" s="24" t="s">
        <v>42</v>
      </c>
      <c r="C11" s="23">
        <f>+C10</f>
        <v>0</v>
      </c>
      <c r="D11" s="23">
        <f>+D10+C11</f>
        <v>0</v>
      </c>
      <c r="E11" s="23">
        <f t="shared" ref="E11" si="11">+E10+D11</f>
        <v>0</v>
      </c>
      <c r="F11" s="23">
        <f t="shared" ref="F11" si="12">+F10+E11</f>
        <v>0</v>
      </c>
      <c r="G11" s="23">
        <f t="shared" ref="G11" si="13">+G10+F11</f>
        <v>0</v>
      </c>
      <c r="H11" s="23">
        <f t="shared" ref="H11" si="14">+H10+G11</f>
        <v>40000</v>
      </c>
      <c r="I11" s="23">
        <f t="shared" ref="I11" si="15">+I10+H11</f>
        <v>52000</v>
      </c>
      <c r="J11" s="23">
        <f t="shared" ref="J11" si="16">+J10+I11</f>
        <v>52000</v>
      </c>
      <c r="K11" s="23">
        <f t="shared" ref="K11" si="17">+K10+J11</f>
        <v>52000</v>
      </c>
      <c r="L11" s="23">
        <f t="shared" ref="L11" si="18">+L10+K11</f>
        <v>52000</v>
      </c>
      <c r="M11" s="23">
        <f t="shared" ref="M11" si="19">+M10+L11</f>
        <v>52000</v>
      </c>
      <c r="N11" s="23">
        <f t="shared" ref="N11" si="20">+N10+M11</f>
        <v>52000</v>
      </c>
    </row>
    <row r="12" spans="2:14">
      <c r="B12" s="24" t="s">
        <v>43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2:14">
      <c r="B13" s="24" t="s">
        <v>44</v>
      </c>
      <c r="C13" s="23">
        <f>+C7-C9-C11-C12</f>
        <v>20000</v>
      </c>
      <c r="D13" s="23">
        <f t="shared" ref="D13:M13" si="21">+D7-D9-D11-D12</f>
        <v>50000</v>
      </c>
      <c r="E13" s="23">
        <f t="shared" si="21"/>
        <v>65000</v>
      </c>
      <c r="F13" s="23">
        <f t="shared" si="21"/>
        <v>85000</v>
      </c>
      <c r="G13" s="23">
        <f t="shared" si="21"/>
        <v>97000</v>
      </c>
      <c r="H13" s="23">
        <f t="shared" si="21"/>
        <v>82000</v>
      </c>
      <c r="I13" s="23">
        <f t="shared" si="21"/>
        <v>90000</v>
      </c>
      <c r="J13" s="23">
        <f t="shared" si="21"/>
        <v>112000</v>
      </c>
      <c r="K13" s="23">
        <f t="shared" si="21"/>
        <v>131000</v>
      </c>
      <c r="L13" s="23">
        <f t="shared" si="21"/>
        <v>151000</v>
      </c>
      <c r="M13" s="23">
        <f t="shared" si="21"/>
        <v>168000</v>
      </c>
      <c r="N13" s="23">
        <f>+N7-N9-N11-N12</f>
        <v>208000</v>
      </c>
    </row>
    <row r="14" spans="2:14">
      <c r="B14" s="24" t="s">
        <v>45</v>
      </c>
      <c r="C14" s="23">
        <f>VLOOKUP(C13,ENE,1,1)</f>
        <v>12009.95</v>
      </c>
      <c r="D14" s="23">
        <f>VLOOKUP(D13,FEB,1,1)</f>
        <v>48444.639999999999</v>
      </c>
      <c r="E14" s="23">
        <f>VLOOKUP(E13,MAR,1,1)</f>
        <v>36029.85</v>
      </c>
      <c r="F14" s="23">
        <f>VLOOKUP(F13,ABR,1,1)</f>
        <v>48039.8</v>
      </c>
      <c r="G14" s="23">
        <f>VLOOKUP(G13,MAY,1,1)</f>
        <v>60049.75</v>
      </c>
      <c r="H14" s="23">
        <f>VLOOKUP(H13,JUN,1,1)</f>
        <v>72059.7</v>
      </c>
      <c r="I14" s="23">
        <f>VLOOKUP(I13,JUL,1,1)</f>
        <v>84069.65</v>
      </c>
      <c r="J14" s="23">
        <f>VLOOKUP(J13,AGO,1,1)</f>
        <v>96079.6</v>
      </c>
      <c r="K14" s="23">
        <f>VLOOKUP(K13,SEP,1,1)</f>
        <v>108089.55</v>
      </c>
      <c r="L14" s="23">
        <f>VLOOKUP(L13,OCT,1,1)</f>
        <v>120099.5</v>
      </c>
      <c r="M14" s="23">
        <f>VLOOKUP(M13,NOV,1,1)</f>
        <v>132109.45000000001</v>
      </c>
      <c r="N14" s="23">
        <f>VLOOKUP(N13,DIC,1,1)</f>
        <v>144119.4</v>
      </c>
    </row>
    <row r="15" spans="2:14">
      <c r="B15" s="24" t="s">
        <v>46</v>
      </c>
      <c r="C15" s="23">
        <f>+C13-C14</f>
        <v>7990.0499999999993</v>
      </c>
      <c r="D15" s="23">
        <f t="shared" ref="D15:N15" si="22">+D13-D14</f>
        <v>1555.3600000000006</v>
      </c>
      <c r="E15" s="23">
        <f t="shared" si="22"/>
        <v>28970.15</v>
      </c>
      <c r="F15" s="23">
        <f t="shared" si="22"/>
        <v>36960.199999999997</v>
      </c>
      <c r="G15" s="23">
        <f t="shared" si="22"/>
        <v>36950.25</v>
      </c>
      <c r="H15" s="23">
        <f t="shared" si="22"/>
        <v>9940.3000000000029</v>
      </c>
      <c r="I15" s="23">
        <f t="shared" si="22"/>
        <v>5930.3500000000058</v>
      </c>
      <c r="J15" s="23">
        <f t="shared" si="22"/>
        <v>15920.399999999994</v>
      </c>
      <c r="K15" s="23">
        <f t="shared" si="22"/>
        <v>22910.449999999997</v>
      </c>
      <c r="L15" s="23">
        <f t="shared" si="22"/>
        <v>30900.5</v>
      </c>
      <c r="M15" s="23">
        <f t="shared" si="22"/>
        <v>35890.549999999988</v>
      </c>
      <c r="N15" s="23">
        <f t="shared" si="22"/>
        <v>63880.600000000006</v>
      </c>
    </row>
    <row r="16" spans="2:14">
      <c r="B16" s="24" t="s">
        <v>47</v>
      </c>
      <c r="C16" s="34">
        <f>VLOOKUP(C13,ENE,4,1)</f>
        <v>0.21359999999999998</v>
      </c>
      <c r="D16" s="34">
        <f>VLOOKUP(D13,FEB,4,1)</f>
        <v>0.23519999999999999</v>
      </c>
      <c r="E16" s="34">
        <f>VLOOKUP(E13,MAR,4,1)</f>
        <v>0.21359999999999998</v>
      </c>
      <c r="F16" s="34">
        <f>VLOOKUP(F13,ABR,4,1)</f>
        <v>0.21359999999999998</v>
      </c>
      <c r="G16" s="34">
        <f>VLOOKUP(G13,MAY,4,1)</f>
        <v>0.21359999999999998</v>
      </c>
      <c r="H16" s="34">
        <f>VLOOKUP(H13,JUN,4,1)</f>
        <v>0.21359999999999998</v>
      </c>
      <c r="I16" s="34">
        <f>VLOOKUP(I13,JUL,4,1)</f>
        <v>0.21359999999999998</v>
      </c>
      <c r="J16" s="34">
        <f>VLOOKUP(J13,AGO,4,1)</f>
        <v>0.21359999999999998</v>
      </c>
      <c r="K16" s="34">
        <f>VLOOKUP(K13,SEP,4,1)</f>
        <v>0.21359999999999998</v>
      </c>
      <c r="L16" s="34">
        <f>VLOOKUP(L13,OCT,4,1)</f>
        <v>0.21359999999999998</v>
      </c>
      <c r="M16" s="34">
        <f>VLOOKUP(M13,NOV,4,1)</f>
        <v>0.21359999999999998</v>
      </c>
      <c r="N16" s="34">
        <f>VLOOKUP(N13,DIC,4,1)</f>
        <v>0.21359999999999998</v>
      </c>
    </row>
    <row r="17" spans="2:14">
      <c r="B17" s="24" t="s">
        <v>48</v>
      </c>
      <c r="C17" s="23">
        <f>+C16*C15</f>
        <v>1706.6746799999996</v>
      </c>
      <c r="D17" s="23">
        <f t="shared" ref="D17:N17" si="23">+D16*D15</f>
        <v>365.82067200000012</v>
      </c>
      <c r="E17" s="23">
        <f t="shared" si="23"/>
        <v>6188.0240400000002</v>
      </c>
      <c r="F17" s="23">
        <f t="shared" si="23"/>
        <v>7894.6987199999985</v>
      </c>
      <c r="G17" s="23">
        <f t="shared" si="23"/>
        <v>7892.5733999999993</v>
      </c>
      <c r="H17" s="23">
        <f t="shared" si="23"/>
        <v>2123.2480800000003</v>
      </c>
      <c r="I17" s="23">
        <f t="shared" si="23"/>
        <v>1266.7227600000012</v>
      </c>
      <c r="J17" s="23">
        <f t="shared" si="23"/>
        <v>3400.5974399999986</v>
      </c>
      <c r="K17" s="23">
        <f t="shared" si="23"/>
        <v>4893.6721199999993</v>
      </c>
      <c r="L17" s="23">
        <f t="shared" si="23"/>
        <v>6600.3467999999993</v>
      </c>
      <c r="M17" s="23">
        <f t="shared" si="23"/>
        <v>7666.2214799999965</v>
      </c>
      <c r="N17" s="23">
        <f t="shared" si="23"/>
        <v>13644.89616</v>
      </c>
    </row>
    <row r="18" spans="2:14">
      <c r="B18" s="24" t="s">
        <v>49</v>
      </c>
      <c r="C18" s="23">
        <f>VLOOKUP(C13,ENE,3,1)</f>
        <v>1271.8699999999999</v>
      </c>
      <c r="D18" s="23">
        <f>VLOOKUP(D13,FEB,3,1)</f>
        <v>7760.88</v>
      </c>
      <c r="E18" s="23">
        <f>VLOOKUP(E13,MAR,3,1)</f>
        <v>3815.6099999999997</v>
      </c>
      <c r="F18" s="23">
        <f>VLOOKUP(F13,ABR,3,1)</f>
        <v>5087.4799999999996</v>
      </c>
      <c r="G18" s="23">
        <f>VLOOKUP(G13,MAY,3,1)</f>
        <v>6359.3499999999995</v>
      </c>
      <c r="H18" s="23">
        <f>VLOOKUP(H13,JUN,3,1)</f>
        <v>7631.2199999999993</v>
      </c>
      <c r="I18" s="23">
        <f>VLOOKUP(I13,JUL,3,1)</f>
        <v>8903.09</v>
      </c>
      <c r="J18" s="23">
        <f>VLOOKUP(J13,AGO,3,1)</f>
        <v>10174.959999999999</v>
      </c>
      <c r="K18" s="23">
        <f>VLOOKUP(K13,SEP,3,1)</f>
        <v>11446.829999999998</v>
      </c>
      <c r="L18" s="23">
        <f>VLOOKUP(L13,OCT,3,1)</f>
        <v>12718.699999999999</v>
      </c>
      <c r="M18" s="23">
        <f>VLOOKUP(M13,NOV,3,1)</f>
        <v>13990.57</v>
      </c>
      <c r="N18" s="23">
        <f>VLOOKUP(N13,DIC,3,1)</f>
        <v>15262.439999999999</v>
      </c>
    </row>
    <row r="19" spans="2:14">
      <c r="B19" s="24" t="s">
        <v>51</v>
      </c>
      <c r="C19" s="23">
        <f>+C18+C17</f>
        <v>2978.5446799999995</v>
      </c>
      <c r="D19" s="23">
        <f t="shared" ref="D19:N19" si="24">+D18+D17</f>
        <v>8126.7006719999999</v>
      </c>
      <c r="E19" s="23">
        <f t="shared" si="24"/>
        <v>10003.634040000001</v>
      </c>
      <c r="F19" s="23">
        <f t="shared" si="24"/>
        <v>12982.178719999998</v>
      </c>
      <c r="G19" s="23">
        <f t="shared" si="24"/>
        <v>14251.9234</v>
      </c>
      <c r="H19" s="23">
        <f t="shared" si="24"/>
        <v>9754.4680799999987</v>
      </c>
      <c r="I19" s="23">
        <f t="shared" si="24"/>
        <v>10169.812760000001</v>
      </c>
      <c r="J19" s="23">
        <f t="shared" si="24"/>
        <v>13575.557439999997</v>
      </c>
      <c r="K19" s="23">
        <f t="shared" si="24"/>
        <v>16340.502119999997</v>
      </c>
      <c r="L19" s="23">
        <f t="shared" si="24"/>
        <v>19319.046799999996</v>
      </c>
      <c r="M19" s="23">
        <f t="shared" si="24"/>
        <v>21656.791479999996</v>
      </c>
      <c r="N19" s="23">
        <f t="shared" si="24"/>
        <v>28907.336159999999</v>
      </c>
    </row>
    <row r="20" spans="2:14">
      <c r="B20" s="24" t="s">
        <v>52</v>
      </c>
      <c r="C20" s="23">
        <v>0</v>
      </c>
      <c r="D20" s="23">
        <f>+C19</f>
        <v>2978.5446799999995</v>
      </c>
      <c r="E20" s="23">
        <f>+D19</f>
        <v>8126.7006719999999</v>
      </c>
      <c r="F20" s="23">
        <f t="shared" ref="F20:N20" si="25">+E19</f>
        <v>10003.634040000001</v>
      </c>
      <c r="G20" s="23">
        <f t="shared" si="25"/>
        <v>12982.178719999998</v>
      </c>
      <c r="H20" s="23">
        <f t="shared" si="25"/>
        <v>14251.9234</v>
      </c>
      <c r="I20" s="23">
        <f t="shared" si="25"/>
        <v>9754.4680799999987</v>
      </c>
      <c r="J20" s="23">
        <f t="shared" si="25"/>
        <v>10169.812760000001</v>
      </c>
      <c r="K20" s="23">
        <f t="shared" si="25"/>
        <v>13575.557439999997</v>
      </c>
      <c r="L20" s="23">
        <f t="shared" si="25"/>
        <v>16340.502119999997</v>
      </c>
      <c r="M20" s="23">
        <f t="shared" si="25"/>
        <v>19319.046799999996</v>
      </c>
      <c r="N20" s="23">
        <f t="shared" si="25"/>
        <v>21656.791479999996</v>
      </c>
    </row>
    <row r="21" spans="2:14">
      <c r="B21" s="24" t="s">
        <v>73</v>
      </c>
      <c r="C21" s="23">
        <v>500</v>
      </c>
      <c r="D21" s="23">
        <v>5000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2:14">
      <c r="B22" s="24" t="s">
        <v>53</v>
      </c>
      <c r="C22" s="23">
        <f>IF(+C19-C20-C21&gt;0,C19-C20-C21,0)</f>
        <v>2478.5446799999995</v>
      </c>
      <c r="D22" s="23">
        <f t="shared" ref="D22:N22" si="26">IF(+D19-D20-D21&gt;0,D19-D20-D21,0)</f>
        <v>148.15599199999997</v>
      </c>
      <c r="E22" s="23">
        <f t="shared" si="26"/>
        <v>1876.9333680000009</v>
      </c>
      <c r="F22" s="23">
        <f t="shared" si="26"/>
        <v>2978.5446799999972</v>
      </c>
      <c r="G22" s="23">
        <f t="shared" si="26"/>
        <v>1269.7446800000016</v>
      </c>
      <c r="H22" s="23">
        <f t="shared" si="26"/>
        <v>0</v>
      </c>
      <c r="I22" s="23">
        <f t="shared" si="26"/>
        <v>415.34468000000197</v>
      </c>
      <c r="J22" s="23">
        <f t="shared" si="26"/>
        <v>3405.7446799999962</v>
      </c>
      <c r="K22" s="23">
        <f t="shared" si="26"/>
        <v>2764.9446800000005</v>
      </c>
      <c r="L22" s="23">
        <f t="shared" si="26"/>
        <v>2978.5446799999991</v>
      </c>
      <c r="M22" s="23">
        <f t="shared" si="26"/>
        <v>2337.7446799999998</v>
      </c>
      <c r="N22" s="23">
        <f t="shared" si="26"/>
        <v>7250.5446800000027</v>
      </c>
    </row>
    <row r="24" spans="2:14">
      <c r="B24" s="37" t="s">
        <v>70</v>
      </c>
      <c r="C24" s="37"/>
    </row>
    <row r="25" spans="2:14">
      <c r="B25" s="24" t="s">
        <v>66</v>
      </c>
      <c r="C25" s="23">
        <f>+N7</f>
        <v>1395000</v>
      </c>
    </row>
    <row r="26" spans="2:14">
      <c r="B26" s="24" t="s">
        <v>67</v>
      </c>
      <c r="C26" s="23">
        <f>+N9</f>
        <v>1135000</v>
      </c>
    </row>
    <row r="27" spans="2:14">
      <c r="B27" s="24" t="s">
        <v>71</v>
      </c>
      <c r="C27" s="23">
        <f>+N11</f>
        <v>52000</v>
      </c>
    </row>
    <row r="28" spans="2:14">
      <c r="B28" s="24" t="s">
        <v>43</v>
      </c>
      <c r="C28" s="23">
        <f>+N12</f>
        <v>0</v>
      </c>
    </row>
    <row r="29" spans="2:14">
      <c r="B29" s="24" t="s">
        <v>58</v>
      </c>
      <c r="C29" s="23">
        <f>+C25-C26-C27-C28</f>
        <v>208000</v>
      </c>
    </row>
    <row r="30" spans="2:14">
      <c r="B30" s="24" t="s">
        <v>68</v>
      </c>
      <c r="C30" s="23">
        <f>+N19</f>
        <v>28907.336159999999</v>
      </c>
    </row>
    <row r="31" spans="2:14">
      <c r="B31" s="24" t="s">
        <v>72</v>
      </c>
      <c r="C31" s="23">
        <f>SUM(C21:N21)</f>
        <v>5500</v>
      </c>
    </row>
  </sheetData>
  <mergeCells count="4">
    <mergeCell ref="B2:N2"/>
    <mergeCell ref="B3:N3"/>
    <mergeCell ref="B4:N4"/>
    <mergeCell ref="B24:C24"/>
  </mergeCells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7749-47F3-4F70-9707-1DF7E1F0ED4E}">
  <dimension ref="A1:O36"/>
  <sheetViews>
    <sheetView topLeftCell="A2" workbookViewId="0">
      <pane xSplit="2" ySplit="4" topLeftCell="C6" activePane="bottomRight" state="frozen"/>
      <selection activeCell="A2" sqref="A2"/>
      <selection pane="topRight" activeCell="C2" sqref="C2"/>
      <selection pane="bottomLeft" activeCell="A6" sqref="A6"/>
      <selection pane="bottomRight" activeCell="C6" sqref="C6"/>
    </sheetView>
  </sheetViews>
  <sheetFormatPr baseColWidth="10" defaultRowHeight="13"/>
  <cols>
    <col min="1" max="1" width="4.81640625" style="19" customWidth="1"/>
    <col min="2" max="2" width="32.08984375" style="19" bestFit="1" customWidth="1"/>
    <col min="3" max="10" width="10.26953125" style="18" bestFit="1" customWidth="1"/>
    <col min="11" max="14" width="11.6328125" style="18" bestFit="1" customWidth="1"/>
    <col min="15" max="15" width="10.90625" style="18"/>
    <col min="16" max="16384" width="10.90625" style="19"/>
  </cols>
  <sheetData>
    <row r="1" spans="1:14">
      <c r="A1" s="36">
        <v>1</v>
      </c>
    </row>
    <row r="2" spans="1:14">
      <c r="B2" s="25" t="str">
        <f>+Nombre</f>
        <v>Jaime Alberto Flores Sandoval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>
      <c r="B3" s="28" t="str">
        <f>+RFC</f>
        <v>FOSJ9201278B7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>
      <c r="B4" s="31" t="s">
        <v>54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B5" s="20" t="s">
        <v>23</v>
      </c>
      <c r="C5" s="21" t="s">
        <v>24</v>
      </c>
      <c r="D5" s="21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  <c r="J5" s="21" t="s">
        <v>31</v>
      </c>
      <c r="K5" s="21" t="s">
        <v>32</v>
      </c>
      <c r="L5" s="21" t="s">
        <v>33</v>
      </c>
      <c r="M5" s="21" t="s">
        <v>34</v>
      </c>
      <c r="N5" s="21" t="s">
        <v>35</v>
      </c>
    </row>
    <row r="6" spans="1:14">
      <c r="B6" s="24" t="s">
        <v>55</v>
      </c>
      <c r="C6" s="23">
        <v>28000</v>
      </c>
      <c r="D6" s="23">
        <v>28000</v>
      </c>
      <c r="E6" s="23">
        <v>34000</v>
      </c>
      <c r="F6" s="23">
        <v>28000</v>
      </c>
      <c r="G6" s="23">
        <v>28000</v>
      </c>
      <c r="H6" s="23">
        <v>28000</v>
      </c>
      <c r="I6" s="23">
        <v>28000</v>
      </c>
      <c r="J6" s="23">
        <v>28000</v>
      </c>
      <c r="K6" s="23">
        <v>28000</v>
      </c>
      <c r="L6" s="23">
        <v>28000</v>
      </c>
      <c r="M6" s="23">
        <v>28000</v>
      </c>
      <c r="N6" s="23">
        <v>28000</v>
      </c>
    </row>
    <row r="7" spans="1:14">
      <c r="B7" s="24" t="s">
        <v>56</v>
      </c>
      <c r="C7" s="23">
        <v>7000</v>
      </c>
      <c r="D7" s="23">
        <v>8000</v>
      </c>
      <c r="E7" s="23">
        <v>9000</v>
      </c>
      <c r="F7" s="23">
        <v>3000</v>
      </c>
      <c r="G7" s="23">
        <v>6000</v>
      </c>
      <c r="H7" s="23">
        <v>16000</v>
      </c>
      <c r="I7" s="23">
        <v>9000</v>
      </c>
      <c r="J7" s="23">
        <v>5000</v>
      </c>
      <c r="K7" s="23">
        <v>6000</v>
      </c>
      <c r="L7" s="23">
        <v>7000</v>
      </c>
      <c r="M7" s="23">
        <v>8000</v>
      </c>
      <c r="N7" s="23">
        <v>7000</v>
      </c>
    </row>
    <row r="8" spans="1:14">
      <c r="B8" s="24" t="s">
        <v>57</v>
      </c>
      <c r="C8" s="23">
        <f>+C6*0.35</f>
        <v>9800</v>
      </c>
      <c r="D8" s="23">
        <f t="shared" ref="D8:N8" si="0">+D6*0.35</f>
        <v>9800</v>
      </c>
      <c r="E8" s="23">
        <f t="shared" si="0"/>
        <v>11900</v>
      </c>
      <c r="F8" s="23">
        <f t="shared" si="0"/>
        <v>9800</v>
      </c>
      <c r="G8" s="23">
        <f t="shared" si="0"/>
        <v>9800</v>
      </c>
      <c r="H8" s="23">
        <f t="shared" si="0"/>
        <v>9800</v>
      </c>
      <c r="I8" s="23">
        <f t="shared" si="0"/>
        <v>9800</v>
      </c>
      <c r="J8" s="23">
        <f t="shared" si="0"/>
        <v>9800</v>
      </c>
      <c r="K8" s="23">
        <f t="shared" si="0"/>
        <v>9800</v>
      </c>
      <c r="L8" s="23">
        <f t="shared" si="0"/>
        <v>9800</v>
      </c>
      <c r="M8" s="23">
        <f t="shared" si="0"/>
        <v>9800</v>
      </c>
      <c r="N8" s="23">
        <f t="shared" si="0"/>
        <v>9800</v>
      </c>
    </row>
    <row r="9" spans="1:14">
      <c r="B9" s="24" t="s">
        <v>58</v>
      </c>
      <c r="C9" s="23">
        <f>IF(Tipo=1,C6-C7,C6-C8)</f>
        <v>21000</v>
      </c>
      <c r="D9" s="23">
        <f>IF(Tipo=1,D6-D7,D6-D8)</f>
        <v>20000</v>
      </c>
      <c r="E9" s="23">
        <f>IF(Tipo=1,E6-E7,E6-E8)</f>
        <v>25000</v>
      </c>
      <c r="F9" s="23">
        <f>IF(Tipo=1,F6-F7,F6-F8)</f>
        <v>25000</v>
      </c>
      <c r="G9" s="23">
        <f>IF(Tipo=1,G6-G7,G6-G8)</f>
        <v>22000</v>
      </c>
      <c r="H9" s="23">
        <f>IF(Tipo=1,H6-H7,H6-H8)</f>
        <v>12000</v>
      </c>
      <c r="I9" s="23">
        <f>IF(Tipo=1,I6-I7,I6-I8)</f>
        <v>19000</v>
      </c>
      <c r="J9" s="23">
        <f>IF(Tipo=1,J6-J7,J6-J8)</f>
        <v>23000</v>
      </c>
      <c r="K9" s="23">
        <f>IF(Tipo=1,K6-K7,K6-K8)</f>
        <v>22000</v>
      </c>
      <c r="L9" s="23">
        <f>IF(Tipo=1,L6-L7,L6-L8)</f>
        <v>21000</v>
      </c>
      <c r="M9" s="23">
        <f>IF(Tipo=1,M6-M7,M6-M8)</f>
        <v>20000</v>
      </c>
      <c r="N9" s="23">
        <f>IF(Tipo=1,N6-N7,N6-N8)</f>
        <v>21000</v>
      </c>
    </row>
    <row r="10" spans="1:14">
      <c r="B10" s="24" t="s">
        <v>45</v>
      </c>
      <c r="C10" s="23">
        <f>VLOOKUP(C9,ENE,1,1)</f>
        <v>12009.95</v>
      </c>
      <c r="D10" s="23">
        <f>VLOOKUP(D9,ENE,1,1)</f>
        <v>12009.95</v>
      </c>
      <c r="E10" s="23">
        <f>VLOOKUP(E9,ENE,1,1)</f>
        <v>24222.32</v>
      </c>
      <c r="F10" s="23">
        <f>VLOOKUP(F9,ENE,1,1)</f>
        <v>24222.32</v>
      </c>
      <c r="G10" s="23">
        <f>VLOOKUP(G9,ENE,1,1)</f>
        <v>12009.95</v>
      </c>
      <c r="H10" s="23">
        <f>VLOOKUP(H9,ENE,1,1)</f>
        <v>10031.08</v>
      </c>
      <c r="I10" s="23">
        <f>VLOOKUP(I9,ENE,1,1)</f>
        <v>12009.95</v>
      </c>
      <c r="J10" s="23">
        <f>VLOOKUP(J9,ENE,1,1)</f>
        <v>12009.95</v>
      </c>
      <c r="K10" s="23">
        <f>VLOOKUP(K9,ENE,1,1)</f>
        <v>12009.95</v>
      </c>
      <c r="L10" s="23">
        <f>VLOOKUP(L9,ENE,1,1)</f>
        <v>12009.95</v>
      </c>
      <c r="M10" s="23">
        <f>VLOOKUP(M9,ENE,1,1)</f>
        <v>12009.95</v>
      </c>
      <c r="N10" s="23">
        <f>VLOOKUP(N9,ENE,1,1)</f>
        <v>12009.95</v>
      </c>
    </row>
    <row r="11" spans="1:14">
      <c r="B11" s="24" t="s">
        <v>46</v>
      </c>
      <c r="C11" s="23">
        <f>+C9-C10</f>
        <v>8990.0499999999993</v>
      </c>
      <c r="D11" s="23">
        <f t="shared" ref="D11:N11" si="1">+D9-D10</f>
        <v>7990.0499999999993</v>
      </c>
      <c r="E11" s="23">
        <f t="shared" si="1"/>
        <v>777.68000000000029</v>
      </c>
      <c r="F11" s="23">
        <f t="shared" si="1"/>
        <v>777.68000000000029</v>
      </c>
      <c r="G11" s="23">
        <f t="shared" si="1"/>
        <v>9990.0499999999993</v>
      </c>
      <c r="H11" s="23">
        <f t="shared" si="1"/>
        <v>1968.92</v>
      </c>
      <c r="I11" s="23">
        <f t="shared" si="1"/>
        <v>6990.0499999999993</v>
      </c>
      <c r="J11" s="23">
        <f t="shared" si="1"/>
        <v>10990.05</v>
      </c>
      <c r="K11" s="23">
        <f t="shared" si="1"/>
        <v>9990.0499999999993</v>
      </c>
      <c r="L11" s="23">
        <f t="shared" si="1"/>
        <v>8990.0499999999993</v>
      </c>
      <c r="M11" s="23">
        <f t="shared" si="1"/>
        <v>7990.0499999999993</v>
      </c>
      <c r="N11" s="23">
        <f t="shared" si="1"/>
        <v>8990.0499999999993</v>
      </c>
    </row>
    <row r="12" spans="1:14">
      <c r="B12" s="24" t="s">
        <v>47</v>
      </c>
      <c r="C12" s="34">
        <f>VLOOKUP(C9,ENE,4,1)</f>
        <v>0.21359999999999998</v>
      </c>
      <c r="D12" s="34">
        <f>VLOOKUP(D9,ENE,4,1)</f>
        <v>0.21359999999999998</v>
      </c>
      <c r="E12" s="34">
        <f>VLOOKUP(E9,ENE,4,1)</f>
        <v>0.23519999999999999</v>
      </c>
      <c r="F12" s="34">
        <f>VLOOKUP(F9,ENE,4,1)</f>
        <v>0.23519999999999999</v>
      </c>
      <c r="G12" s="34">
        <f>VLOOKUP(G9,ENE,4,1)</f>
        <v>0.21359999999999998</v>
      </c>
      <c r="H12" s="34">
        <f>VLOOKUP(H9,ENE,4,1)</f>
        <v>0.17920000000000003</v>
      </c>
      <c r="I12" s="34">
        <f>VLOOKUP(I9,ENE,4,1)</f>
        <v>0.21359999999999998</v>
      </c>
      <c r="J12" s="34">
        <f>VLOOKUP(J9,ENE,4,1)</f>
        <v>0.21359999999999998</v>
      </c>
      <c r="K12" s="34">
        <f>VLOOKUP(K9,ENE,4,1)</f>
        <v>0.21359999999999998</v>
      </c>
      <c r="L12" s="34">
        <f>VLOOKUP(L9,ENE,4,1)</f>
        <v>0.21359999999999998</v>
      </c>
      <c r="M12" s="34">
        <f>VLOOKUP(M9,ENE,4,1)</f>
        <v>0.21359999999999998</v>
      </c>
      <c r="N12" s="34">
        <f>VLOOKUP(N9,ENE,4,1)</f>
        <v>0.21359999999999998</v>
      </c>
    </row>
    <row r="13" spans="1:14">
      <c r="B13" s="24" t="s">
        <v>48</v>
      </c>
      <c r="C13" s="23">
        <f>+C12*C11</f>
        <v>1920.2746799999998</v>
      </c>
      <c r="D13" s="23">
        <f t="shared" ref="D13:N13" si="2">+D12*D11</f>
        <v>1706.6746799999996</v>
      </c>
      <c r="E13" s="23">
        <f t="shared" si="2"/>
        <v>182.91033600000006</v>
      </c>
      <c r="F13" s="23">
        <f t="shared" si="2"/>
        <v>182.91033600000006</v>
      </c>
      <c r="G13" s="23">
        <f t="shared" si="2"/>
        <v>2133.8746799999999</v>
      </c>
      <c r="H13" s="23">
        <f t="shared" si="2"/>
        <v>352.83046400000006</v>
      </c>
      <c r="I13" s="23">
        <f t="shared" si="2"/>
        <v>1493.0746799999997</v>
      </c>
      <c r="J13" s="23">
        <f t="shared" si="2"/>
        <v>2347.4746799999998</v>
      </c>
      <c r="K13" s="23">
        <f t="shared" si="2"/>
        <v>2133.8746799999999</v>
      </c>
      <c r="L13" s="23">
        <f t="shared" si="2"/>
        <v>1920.2746799999998</v>
      </c>
      <c r="M13" s="23">
        <f t="shared" si="2"/>
        <v>1706.6746799999996</v>
      </c>
      <c r="N13" s="23">
        <f t="shared" si="2"/>
        <v>1920.2746799999998</v>
      </c>
    </row>
    <row r="14" spans="1:14">
      <c r="B14" s="24" t="s">
        <v>49</v>
      </c>
      <c r="C14" s="23">
        <f>VLOOKUP(C9,ENE,3,1)</f>
        <v>1271.8699999999999</v>
      </c>
      <c r="D14" s="23">
        <f>VLOOKUP(D9,ENE,3,1)</f>
        <v>1271.8699999999999</v>
      </c>
      <c r="E14" s="23">
        <f>VLOOKUP(E9,ENE,3,1)</f>
        <v>3880.44</v>
      </c>
      <c r="F14" s="23">
        <f>VLOOKUP(F9,ENE,3,1)</f>
        <v>3880.44</v>
      </c>
      <c r="G14" s="23">
        <f>VLOOKUP(G9,ENE,3,1)</f>
        <v>1271.8699999999999</v>
      </c>
      <c r="H14" s="23">
        <f>VLOOKUP(H9,ENE,3,1)</f>
        <v>917.26</v>
      </c>
      <c r="I14" s="23">
        <f>VLOOKUP(I9,ENE,3,1)</f>
        <v>1271.8699999999999</v>
      </c>
      <c r="J14" s="23">
        <f>VLOOKUP(J9,ENE,3,1)</f>
        <v>1271.8699999999999</v>
      </c>
      <c r="K14" s="23">
        <f>VLOOKUP(K9,ENE,3,1)</f>
        <v>1271.8699999999999</v>
      </c>
      <c r="L14" s="23">
        <f>VLOOKUP(L9,ENE,3,1)</f>
        <v>1271.8699999999999</v>
      </c>
      <c r="M14" s="23">
        <f>VLOOKUP(M9,ENE,3,1)</f>
        <v>1271.8699999999999</v>
      </c>
      <c r="N14" s="23">
        <f>VLOOKUP(N9,ENE,3,1)</f>
        <v>1271.8699999999999</v>
      </c>
    </row>
    <row r="15" spans="1:14">
      <c r="B15" s="24" t="s">
        <v>51</v>
      </c>
      <c r="C15" s="23">
        <f>+C14+C13</f>
        <v>3192.1446799999994</v>
      </c>
      <c r="D15" s="23">
        <f t="shared" ref="D15:N15" si="3">+D14+D13</f>
        <v>2978.5446799999995</v>
      </c>
      <c r="E15" s="23">
        <f t="shared" si="3"/>
        <v>4063.350336</v>
      </c>
      <c r="F15" s="23">
        <f t="shared" si="3"/>
        <v>4063.350336</v>
      </c>
      <c r="G15" s="23">
        <f t="shared" si="3"/>
        <v>3405.7446799999998</v>
      </c>
      <c r="H15" s="23">
        <f t="shared" si="3"/>
        <v>1270.0904640000001</v>
      </c>
      <c r="I15" s="23">
        <f t="shared" si="3"/>
        <v>2764.9446799999996</v>
      </c>
      <c r="J15" s="23">
        <f t="shared" si="3"/>
        <v>3619.3446799999997</v>
      </c>
      <c r="K15" s="23">
        <f t="shared" si="3"/>
        <v>3405.7446799999998</v>
      </c>
      <c r="L15" s="23">
        <f t="shared" si="3"/>
        <v>3192.1446799999994</v>
      </c>
      <c r="M15" s="23">
        <f t="shared" si="3"/>
        <v>2978.5446799999995</v>
      </c>
      <c r="N15" s="23">
        <f t="shared" si="3"/>
        <v>3192.1446799999994</v>
      </c>
    </row>
    <row r="16" spans="1:14">
      <c r="B16" s="24" t="s">
        <v>62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2:14">
      <c r="B17" s="24" t="s">
        <v>63</v>
      </c>
      <c r="C17" s="23">
        <f>+C15-C16</f>
        <v>3192.1446799999994</v>
      </c>
      <c r="D17" s="23">
        <f t="shared" ref="D17:N17" si="4">+D15-D16</f>
        <v>2978.5446799999995</v>
      </c>
      <c r="E17" s="23">
        <f t="shared" si="4"/>
        <v>4063.350336</v>
      </c>
      <c r="F17" s="23">
        <f t="shared" si="4"/>
        <v>4063.350336</v>
      </c>
      <c r="G17" s="23">
        <f t="shared" si="4"/>
        <v>3405.7446799999998</v>
      </c>
      <c r="H17" s="23">
        <f t="shared" si="4"/>
        <v>1270.0904640000001</v>
      </c>
      <c r="I17" s="23">
        <f t="shared" si="4"/>
        <v>2764.9446799999996</v>
      </c>
      <c r="J17" s="23">
        <f t="shared" si="4"/>
        <v>3619.3446799999997</v>
      </c>
      <c r="K17" s="23">
        <f t="shared" si="4"/>
        <v>3405.7446799999998</v>
      </c>
      <c r="L17" s="23">
        <f t="shared" si="4"/>
        <v>3192.1446799999994</v>
      </c>
      <c r="M17" s="23">
        <f t="shared" si="4"/>
        <v>2978.5446799999995</v>
      </c>
      <c r="N17" s="23">
        <f t="shared" si="4"/>
        <v>3192.1446799999994</v>
      </c>
    </row>
    <row r="19" spans="2:14">
      <c r="E19" s="37" t="s">
        <v>65</v>
      </c>
      <c r="F19" s="37"/>
      <c r="G19" s="37"/>
      <c r="H19" s="37"/>
    </row>
    <row r="20" spans="2:14">
      <c r="E20" s="38" t="s">
        <v>66</v>
      </c>
      <c r="F20" s="38"/>
      <c r="G20" s="38"/>
      <c r="H20" s="23">
        <f>SUM(C6:N6)</f>
        <v>342000</v>
      </c>
    </row>
    <row r="21" spans="2:14">
      <c r="E21" s="38" t="s">
        <v>67</v>
      </c>
      <c r="F21" s="38"/>
      <c r="G21" s="38"/>
      <c r="H21" s="23">
        <f>+H20-SUM(C9:N9)</f>
        <v>91000</v>
      </c>
    </row>
    <row r="22" spans="2:14">
      <c r="C22" s="19"/>
      <c r="D22" s="19"/>
      <c r="E22" s="38" t="s">
        <v>68</v>
      </c>
      <c r="F22" s="38"/>
      <c r="G22" s="38"/>
      <c r="H22" s="24">
        <f>SUM(C15:N15)</f>
        <v>38126.093255999993</v>
      </c>
    </row>
    <row r="23" spans="2:14">
      <c r="E23" s="38" t="s">
        <v>64</v>
      </c>
      <c r="F23" s="38"/>
      <c r="G23" s="38"/>
      <c r="H23" s="23">
        <f>SUM(C16:N16)</f>
        <v>0</v>
      </c>
    </row>
    <row r="24" spans="2:14">
      <c r="E24" s="38" t="s">
        <v>69</v>
      </c>
      <c r="F24" s="38"/>
      <c r="G24" s="38"/>
      <c r="H24" s="23">
        <f>SUM(C17:N17)</f>
        <v>38126.093255999993</v>
      </c>
    </row>
    <row r="35" spans="2:2">
      <c r="B35" s="35" t="s">
        <v>60</v>
      </c>
    </row>
    <row r="36" spans="2:2">
      <c r="B36" s="35" t="s">
        <v>61</v>
      </c>
    </row>
  </sheetData>
  <mergeCells count="9">
    <mergeCell ref="E22:G22"/>
    <mergeCell ref="E23:G23"/>
    <mergeCell ref="E24:G24"/>
    <mergeCell ref="B2:N2"/>
    <mergeCell ref="B3:N3"/>
    <mergeCell ref="B4:N4"/>
    <mergeCell ref="E19:H19"/>
    <mergeCell ref="E20:G20"/>
    <mergeCell ref="E21:G2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List Box 4">
              <controlPr defaultSize="0" autoLine="0" autoPict="0">
                <anchor moveWithCells="1">
                  <from>
                    <xdr:col>1</xdr:col>
                    <xdr:colOff>6350</xdr:colOff>
                    <xdr:row>17</xdr:row>
                    <xdr:rowOff>152400</xdr:rowOff>
                  </from>
                  <to>
                    <xdr:col>1</xdr:col>
                    <xdr:colOff>1803400</xdr:colOff>
                    <xdr:row>20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841C3-8D1A-4878-8094-635C7BDADD66}">
  <dimension ref="B2:C42"/>
  <sheetViews>
    <sheetView topLeftCell="A27" workbookViewId="0">
      <selection activeCell="B44" sqref="B44"/>
    </sheetView>
  </sheetViews>
  <sheetFormatPr baseColWidth="10" defaultRowHeight="14.5"/>
  <cols>
    <col min="1" max="1" width="10.90625" style="16"/>
    <col min="2" max="2" width="40.1796875" style="16" bestFit="1" customWidth="1"/>
    <col min="3" max="3" width="12.54296875" style="16" bestFit="1" customWidth="1"/>
    <col min="4" max="16384" width="10.90625" style="16"/>
  </cols>
  <sheetData>
    <row r="2" spans="2:3">
      <c r="B2" s="16" t="s">
        <v>76</v>
      </c>
      <c r="C2" s="16">
        <v>3200000</v>
      </c>
    </row>
    <row r="3" spans="2:3">
      <c r="B3" s="16" t="s">
        <v>77</v>
      </c>
      <c r="C3" s="46">
        <v>44037</v>
      </c>
    </row>
    <row r="4" spans="2:3">
      <c r="B4" s="16" t="s">
        <v>78</v>
      </c>
      <c r="C4" s="16">
        <v>350000</v>
      </c>
    </row>
    <row r="5" spans="2:3">
      <c r="B5" s="16" t="s">
        <v>83</v>
      </c>
      <c r="C5" s="16">
        <v>1025000</v>
      </c>
    </row>
    <row r="6" spans="2:3">
      <c r="B6" s="16" t="s">
        <v>79</v>
      </c>
      <c r="C6" s="16">
        <v>140000</v>
      </c>
    </row>
    <row r="7" spans="2:3">
      <c r="B7" s="16" t="s">
        <v>80</v>
      </c>
      <c r="C7" s="46">
        <v>41019</v>
      </c>
    </row>
    <row r="8" spans="2:3">
      <c r="B8" s="16" t="s">
        <v>81</v>
      </c>
      <c r="C8" s="16">
        <f>DATEDIF(C7,C3,"y")</f>
        <v>8</v>
      </c>
    </row>
    <row r="9" spans="2:3">
      <c r="B9" s="16" t="s">
        <v>82</v>
      </c>
      <c r="C9" s="47">
        <v>0.03</v>
      </c>
    </row>
    <row r="11" spans="2:3">
      <c r="B11" s="16" t="s">
        <v>84</v>
      </c>
      <c r="C11" s="16">
        <f>+C5</f>
        <v>1025000</v>
      </c>
    </row>
    <row r="12" spans="2:3">
      <c r="B12" s="16" t="s">
        <v>85</v>
      </c>
      <c r="C12" s="47">
        <f>+C9</f>
        <v>0.03</v>
      </c>
    </row>
    <row r="13" spans="2:3">
      <c r="B13" s="16" t="s">
        <v>86</v>
      </c>
      <c r="C13" s="16">
        <f>+C12*C11</f>
        <v>30750</v>
      </c>
    </row>
    <row r="14" spans="2:3">
      <c r="B14" s="16" t="s">
        <v>87</v>
      </c>
      <c r="C14" s="16">
        <f>+C13*C8</f>
        <v>246000</v>
      </c>
    </row>
    <row r="15" spans="2:3">
      <c r="B15" s="16" t="s">
        <v>88</v>
      </c>
      <c r="C15" s="16">
        <f>+C11-C14</f>
        <v>779000</v>
      </c>
    </row>
    <row r="17" spans="2:3">
      <c r="B17" s="16" t="str">
        <f>+B4</f>
        <v>Costo comprobado de adquisición terreno</v>
      </c>
      <c r="C17" s="16">
        <f>+C4</f>
        <v>350000</v>
      </c>
    </row>
    <row r="18" spans="2:3">
      <c r="B18" s="16" t="str">
        <f>+B15</f>
        <v>Importe pendiente de depreciar</v>
      </c>
      <c r="C18" s="16">
        <f>+C15</f>
        <v>779000</v>
      </c>
    </row>
    <row r="19" spans="2:3">
      <c r="B19" s="16" t="s">
        <v>79</v>
      </c>
      <c r="C19" s="16">
        <f>+C6</f>
        <v>140000</v>
      </c>
    </row>
    <row r="20" spans="2:3">
      <c r="B20" s="16" t="s">
        <v>89</v>
      </c>
      <c r="C20" s="16">
        <f>SUM(C17:C19)</f>
        <v>1269000</v>
      </c>
    </row>
    <row r="21" spans="2:3">
      <c r="B21" s="16" t="s">
        <v>90</v>
      </c>
      <c r="C21" s="16">
        <f>VLOOKUP(YEAR(C7),INPC,MONTH(C7)+1,0)</f>
        <v>78.300979999999996</v>
      </c>
    </row>
    <row r="22" spans="2:3">
      <c r="B22" s="16" t="s">
        <v>91</v>
      </c>
      <c r="C22" s="16">
        <f>VLOOKUP(YEAR(C3),INPC,MONTH(C3),0)</f>
        <v>106.74299999999999</v>
      </c>
    </row>
    <row r="23" spans="2:3">
      <c r="B23" s="16" t="s">
        <v>92</v>
      </c>
      <c r="C23" s="48">
        <f>TRUNC(C22/C21,4)</f>
        <v>1.3632</v>
      </c>
    </row>
    <row r="24" spans="2:3">
      <c r="B24" s="16" t="s">
        <v>93</v>
      </c>
      <c r="C24" s="16">
        <f>+C23*C20</f>
        <v>1729900.8</v>
      </c>
    </row>
    <row r="26" spans="2:3">
      <c r="B26" s="49" t="s">
        <v>94</v>
      </c>
    </row>
    <row r="27" spans="2:3">
      <c r="B27" s="16" t="s">
        <v>95</v>
      </c>
      <c r="C27" s="16">
        <f>+C2</f>
        <v>3200000</v>
      </c>
    </row>
    <row r="28" spans="2:3">
      <c r="B28" s="16" t="s">
        <v>93</v>
      </c>
      <c r="C28" s="16">
        <f>+C24</f>
        <v>1729900.8</v>
      </c>
    </row>
    <row r="29" spans="2:3">
      <c r="B29" s="16" t="s">
        <v>96</v>
      </c>
      <c r="C29" s="16">
        <f>+C27-C28</f>
        <v>1470099.2</v>
      </c>
    </row>
    <row r="31" spans="2:3">
      <c r="B31" s="49" t="s">
        <v>97</v>
      </c>
    </row>
    <row r="32" spans="2:3">
      <c r="B32" s="17" t="str">
        <f>+B29</f>
        <v>Ganancia en la enajenación del inmueble</v>
      </c>
      <c r="C32" s="17">
        <f>+C29</f>
        <v>1470099.2</v>
      </c>
    </row>
    <row r="33" spans="2:3">
      <c r="B33" s="17" t="s">
        <v>98</v>
      </c>
      <c r="C33" s="17">
        <f>+C8</f>
        <v>8</v>
      </c>
    </row>
    <row r="34" spans="2:3">
      <c r="B34" s="17" t="s">
        <v>99</v>
      </c>
      <c r="C34" s="17">
        <f>+C32/C33</f>
        <v>183762.4</v>
      </c>
    </row>
    <row r="35" spans="2:3">
      <c r="B35" s="24" t="s">
        <v>45</v>
      </c>
      <c r="C35" s="23">
        <f>VLOOKUP(C34,DIC,1,1)</f>
        <v>144119.4</v>
      </c>
    </row>
    <row r="36" spans="2:3">
      <c r="B36" s="24" t="s">
        <v>46</v>
      </c>
      <c r="C36" s="23">
        <f t="shared" ref="C36" si="0">+C34-C35</f>
        <v>39643</v>
      </c>
    </row>
    <row r="37" spans="2:3">
      <c r="B37" s="24" t="s">
        <v>47</v>
      </c>
      <c r="C37" s="34">
        <f>VLOOKUP(C34,DIC,4,1)</f>
        <v>0.21359999999999998</v>
      </c>
    </row>
    <row r="38" spans="2:3">
      <c r="B38" s="24" t="s">
        <v>48</v>
      </c>
      <c r="C38" s="23">
        <f t="shared" ref="C38" si="1">+C37*C36</f>
        <v>8467.7447999999986</v>
      </c>
    </row>
    <row r="39" spans="2:3">
      <c r="B39" s="24" t="s">
        <v>49</v>
      </c>
      <c r="C39" s="23">
        <f>VLOOKUP(C34,DIC,3,1)</f>
        <v>15262.439999999999</v>
      </c>
    </row>
    <row r="40" spans="2:3">
      <c r="B40" s="24" t="s">
        <v>100</v>
      </c>
      <c r="C40" s="23">
        <f t="shared" ref="C40" si="2">+C39+C38</f>
        <v>23730.184799999995</v>
      </c>
    </row>
    <row r="41" spans="2:3">
      <c r="B41" s="24" t="s">
        <v>101</v>
      </c>
      <c r="C41" s="23">
        <f>+C33</f>
        <v>8</v>
      </c>
    </row>
    <row r="42" spans="2:3">
      <c r="B42" s="50" t="s">
        <v>50</v>
      </c>
      <c r="C42" s="51">
        <f>+C41*C40</f>
        <v>189841.47839999996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DE40-F431-4C74-9D7E-EF68BEB0ECFA}">
  <dimension ref="B2:C13"/>
  <sheetViews>
    <sheetView tabSelected="1" workbookViewId="0">
      <selection activeCell="C14" sqref="C14"/>
    </sheetView>
  </sheetViews>
  <sheetFormatPr baseColWidth="10" defaultRowHeight="14.5"/>
  <cols>
    <col min="2" max="2" width="8.6328125" customWidth="1"/>
    <col min="3" max="3" width="50.453125" bestFit="1" customWidth="1"/>
  </cols>
  <sheetData>
    <row r="2" spans="2:3">
      <c r="C2" s="52" t="s">
        <v>102</v>
      </c>
    </row>
    <row r="3" spans="2:3">
      <c r="C3" t="s">
        <v>66</v>
      </c>
    </row>
    <row r="4" spans="2:3">
      <c r="C4" t="s">
        <v>103</v>
      </c>
    </row>
    <row r="5" spans="2:3">
      <c r="B5" s="14" t="s">
        <v>110</v>
      </c>
      <c r="C5" t="s">
        <v>108</v>
      </c>
    </row>
    <row r="6" spans="2:3">
      <c r="B6" s="14" t="s">
        <v>110</v>
      </c>
      <c r="C6" t="s">
        <v>104</v>
      </c>
    </row>
    <row r="7" spans="2:3">
      <c r="B7" s="14" t="s">
        <v>110</v>
      </c>
      <c r="C7" t="s">
        <v>105</v>
      </c>
    </row>
    <row r="8" spans="2:3">
      <c r="B8" s="14" t="s">
        <v>110</v>
      </c>
      <c r="C8" t="s">
        <v>106</v>
      </c>
    </row>
    <row r="9" spans="2:3">
      <c r="B9" s="14" t="s">
        <v>110</v>
      </c>
      <c r="C9" t="s">
        <v>109</v>
      </c>
    </row>
    <row r="10" spans="2:3">
      <c r="B10" s="14" t="s">
        <v>110</v>
      </c>
      <c r="C10" t="s">
        <v>107</v>
      </c>
    </row>
    <row r="11" spans="2:3">
      <c r="B11" s="14" t="s">
        <v>110</v>
      </c>
      <c r="C11" t="s">
        <v>111</v>
      </c>
    </row>
    <row r="12" spans="2:3">
      <c r="B12" s="14" t="s">
        <v>112</v>
      </c>
      <c r="C12" t="s">
        <v>113</v>
      </c>
    </row>
    <row r="13" spans="2:3">
      <c r="B13" s="14" t="s">
        <v>112</v>
      </c>
      <c r="C1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18</vt:i4>
      </vt:variant>
    </vt:vector>
  </HeadingPairs>
  <TitlesOfParts>
    <vt:vector size="25" baseType="lpstr">
      <vt:lpstr>INPC</vt:lpstr>
      <vt:lpstr>Datos</vt:lpstr>
      <vt:lpstr>TARIFAS</vt:lpstr>
      <vt:lpstr>ActEmp</vt:lpstr>
      <vt:lpstr>Arrend.</vt:lpstr>
      <vt:lpstr>Enajenación</vt:lpstr>
      <vt:lpstr>Anual</vt:lpstr>
      <vt:lpstr>ABR</vt:lpstr>
      <vt:lpstr>AGO</vt:lpstr>
      <vt:lpstr>anual</vt:lpstr>
      <vt:lpstr>DIC</vt:lpstr>
      <vt:lpstr>ENE</vt:lpstr>
      <vt:lpstr>FEB</vt:lpstr>
      <vt:lpstr>INPC</vt:lpstr>
      <vt:lpstr>JUL</vt:lpstr>
      <vt:lpstr>JUN</vt:lpstr>
      <vt:lpstr>MAR</vt:lpstr>
      <vt:lpstr>MAY</vt:lpstr>
      <vt:lpstr>Nombre</vt:lpstr>
      <vt:lpstr>NOV</vt:lpstr>
      <vt:lpstr>OCT</vt:lpstr>
      <vt:lpstr>RFC</vt:lpstr>
      <vt:lpstr>SEP</vt:lpstr>
      <vt:lpstr>Tipo</vt:lpstr>
      <vt:lpstr>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Jaime Flores</dc:creator>
  <cp:lastModifiedBy>Dr. Jaime Flores</cp:lastModifiedBy>
  <dcterms:created xsi:type="dcterms:W3CDTF">2021-04-29T00:34:18Z</dcterms:created>
  <dcterms:modified xsi:type="dcterms:W3CDTF">2021-04-29T08:28:40Z</dcterms:modified>
</cp:coreProperties>
</file>