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TB\USB-Verde-Plata\PTU\Abril-2023-CiFiCon\"/>
    </mc:Choice>
  </mc:AlternateContent>
  <xr:revisionPtr revIDLastSave="0" documentId="13_ncr:1_{858408E6-A27F-481B-9BEB-D4AA39576E0D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Comparación PTU" sheetId="8" r:id="rId1"/>
    <sheet name="Caso 1" sheetId="6" r:id="rId2"/>
    <sheet name="Caso 2" sheetId="2" state="hidden" r:id="rId3"/>
    <sheet name="Tarifas" sheetId="5" r:id="rId4"/>
    <sheet name="Renta Gravable RIF" sheetId="7" r:id="rId5"/>
  </sheets>
  <definedNames>
    <definedName name="_xlnm.Print_Area" localSheetId="1">'Caso 1'!$A$1:$K$242</definedName>
    <definedName name="_xlnm.Print_Area" localSheetId="2">'Caso 2'!$A$1:$K$158</definedName>
    <definedName name="crédito_mensual">Tarifas!$A$27:$D$37</definedName>
    <definedName name="impuesto_mensual">Tarifas!$A$8:$D$21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6" i="6" l="1"/>
  <c r="C156" i="6"/>
  <c r="D41" i="8"/>
  <c r="C40" i="8"/>
  <c r="C36" i="8"/>
  <c r="C32" i="8"/>
  <c r="B33" i="8"/>
  <c r="C27" i="8"/>
  <c r="C26" i="8"/>
  <c r="C39" i="8" s="1"/>
  <c r="C25" i="8"/>
  <c r="C38" i="8" s="1"/>
  <c r="D38" i="8" s="1"/>
  <c r="C24" i="8"/>
  <c r="C37" i="8" s="1"/>
  <c r="C23" i="8"/>
  <c r="C22" i="8"/>
  <c r="C35" i="8" s="1"/>
  <c r="C21" i="8"/>
  <c r="C34" i="8" s="1"/>
  <c r="D34" i="8" s="1"/>
  <c r="C20" i="8"/>
  <c r="C33" i="8" s="1"/>
  <c r="D33" i="8" s="1"/>
  <c r="C19" i="8"/>
  <c r="E13" i="8"/>
  <c r="B40" i="8" s="1"/>
  <c r="E40" i="8" s="1"/>
  <c r="E12" i="8"/>
  <c r="B39" i="8" s="1"/>
  <c r="E39" i="8" s="1"/>
  <c r="E11" i="8"/>
  <c r="B38" i="8" s="1"/>
  <c r="E10" i="8"/>
  <c r="B37" i="8" s="1"/>
  <c r="E37" i="8" s="1"/>
  <c r="E9" i="8"/>
  <c r="B36" i="8" s="1"/>
  <c r="E36" i="8" s="1"/>
  <c r="E8" i="8"/>
  <c r="B35" i="8" s="1"/>
  <c r="E35" i="8" s="1"/>
  <c r="E7" i="8"/>
  <c r="B34" i="8" s="1"/>
  <c r="E6" i="8"/>
  <c r="E5" i="8"/>
  <c r="B32" i="8" s="1"/>
  <c r="D14" i="8"/>
  <c r="C14" i="8"/>
  <c r="B14" i="8"/>
  <c r="E14" i="8" l="1"/>
  <c r="D37" i="8"/>
  <c r="D35" i="8"/>
  <c r="D39" i="8"/>
  <c r="C41" i="8"/>
  <c r="D36" i="8"/>
  <c r="E34" i="8"/>
  <c r="E38" i="8"/>
  <c r="E33" i="8"/>
  <c r="D40" i="8"/>
  <c r="D32" i="8"/>
  <c r="H10" i="7" l="1"/>
  <c r="H8" i="7"/>
  <c r="G8" i="7"/>
  <c r="F8" i="7"/>
  <c r="E8" i="7"/>
  <c r="D8" i="7"/>
  <c r="C8" i="7"/>
  <c r="B8" i="7"/>
  <c r="H7" i="7"/>
  <c r="H6" i="7"/>
  <c r="H5" i="7"/>
  <c r="H4" i="7"/>
  <c r="B37" i="2" l="1"/>
  <c r="E64" i="6"/>
  <c r="E52" i="6"/>
  <c r="E54" i="6" s="1"/>
  <c r="E51" i="6"/>
  <c r="E47" i="6"/>
  <c r="E50" i="6"/>
  <c r="E40" i="6"/>
  <c r="D124" i="6" s="1"/>
  <c r="C141" i="6" s="1"/>
  <c r="E39" i="6"/>
  <c r="D123" i="6"/>
  <c r="C140" i="6"/>
  <c r="E38" i="6"/>
  <c r="D122" i="6"/>
  <c r="C139" i="6"/>
  <c r="E37" i="6"/>
  <c r="D121" i="6" s="1"/>
  <c r="C138" i="6" s="1"/>
  <c r="E36" i="6"/>
  <c r="D120" i="6"/>
  <c r="C137" i="6" s="1"/>
  <c r="E35" i="6"/>
  <c r="D119" i="6"/>
  <c r="C136" i="6" s="1"/>
  <c r="E34" i="6"/>
  <c r="D118" i="6"/>
  <c r="C135" i="6"/>
  <c r="E33" i="6"/>
  <c r="E32" i="6"/>
  <c r="D116" i="6"/>
  <c r="C133" i="6" s="1"/>
  <c r="B42" i="2"/>
  <c r="B41" i="2"/>
  <c r="B52" i="6"/>
  <c r="B51" i="6"/>
  <c r="E98" i="2"/>
  <c r="D56" i="2"/>
  <c r="D55" i="2"/>
  <c r="D54" i="2"/>
  <c r="C56" i="2"/>
  <c r="H56" i="2"/>
  <c r="C74" i="2"/>
  <c r="E56" i="2"/>
  <c r="I56" i="2"/>
  <c r="F74" i="2"/>
  <c r="C55" i="2"/>
  <c r="E55" i="2"/>
  <c r="C54" i="2"/>
  <c r="E54" i="2"/>
  <c r="E37" i="2"/>
  <c r="E40" i="2"/>
  <c r="E44" i="2"/>
  <c r="E31" i="2"/>
  <c r="D87" i="2"/>
  <c r="D98" i="2"/>
  <c r="C108" i="2"/>
  <c r="E30" i="2"/>
  <c r="D86" i="2"/>
  <c r="D97" i="2"/>
  <c r="C107" i="2"/>
  <c r="E29" i="2"/>
  <c r="D85" i="2"/>
  <c r="D96" i="2"/>
  <c r="C106" i="2"/>
  <c r="E116" i="6"/>
  <c r="B47" i="6"/>
  <c r="C140" i="2"/>
  <c r="B73" i="6"/>
  <c r="B103" i="6" s="1"/>
  <c r="B121" i="6" s="1"/>
  <c r="B138" i="6" s="1"/>
  <c r="B152" i="6" s="1"/>
  <c r="B166" i="6" s="1"/>
  <c r="B180" i="6" s="1"/>
  <c r="D73" i="6"/>
  <c r="E73" i="6"/>
  <c r="F73" i="6" s="1"/>
  <c r="G73" i="6"/>
  <c r="B74" i="6"/>
  <c r="B104" i="6" s="1"/>
  <c r="B122" i="6" s="1"/>
  <c r="B139" i="6"/>
  <c r="B153" i="6"/>
  <c r="B167" i="6" s="1"/>
  <c r="B181" i="6" s="1"/>
  <c r="B208" i="6" s="1"/>
  <c r="B223" i="6" s="1"/>
  <c r="D74" i="6"/>
  <c r="E74" i="6" s="1"/>
  <c r="F74" i="6" s="1"/>
  <c r="G74" i="6"/>
  <c r="B75" i="6"/>
  <c r="B105" i="6" s="1"/>
  <c r="B123" i="6" s="1"/>
  <c r="B140" i="6" s="1"/>
  <c r="B154" i="6" s="1"/>
  <c r="B168" i="6" s="1"/>
  <c r="B182" i="6" s="1"/>
  <c r="D75" i="6"/>
  <c r="E75" i="6"/>
  <c r="F75" i="6" s="1"/>
  <c r="G75" i="6"/>
  <c r="H75" i="6"/>
  <c r="C105" i="6" s="1"/>
  <c r="B76" i="6"/>
  <c r="B106" i="6" s="1"/>
  <c r="B124" i="6" s="1"/>
  <c r="B141" i="6"/>
  <c r="B155" i="6" s="1"/>
  <c r="B169" i="6" s="1"/>
  <c r="B183" i="6" s="1"/>
  <c r="D76" i="6"/>
  <c r="E76" i="6" s="1"/>
  <c r="F76" i="6" s="1"/>
  <c r="G76" i="6"/>
  <c r="E121" i="6"/>
  <c r="E122" i="6"/>
  <c r="E123" i="6"/>
  <c r="E124" i="6"/>
  <c r="D69" i="6"/>
  <c r="E69" i="6"/>
  <c r="F69" i="6"/>
  <c r="D117" i="6"/>
  <c r="C134" i="6"/>
  <c r="C191" i="6" s="1"/>
  <c r="C159" i="6"/>
  <c r="H145" i="6"/>
  <c r="E120" i="6"/>
  <c r="E119" i="6"/>
  <c r="E118" i="6"/>
  <c r="E117" i="6"/>
  <c r="G72" i="6"/>
  <c r="B72" i="6"/>
  <c r="B102" i="6" s="1"/>
  <c r="B120" i="6" s="1"/>
  <c r="B137" i="6" s="1"/>
  <c r="B151" i="6" s="1"/>
  <c r="B165" i="6" s="1"/>
  <c r="B179" i="6" s="1"/>
  <c r="G71" i="6"/>
  <c r="H71" i="6" s="1"/>
  <c r="C101" i="6" s="1"/>
  <c r="B71" i="6"/>
  <c r="B101" i="6" s="1"/>
  <c r="B119" i="6" s="1"/>
  <c r="B136" i="6"/>
  <c r="B150" i="6"/>
  <c r="B164" i="6" s="1"/>
  <c r="B178" i="6" s="1"/>
  <c r="G70" i="6"/>
  <c r="H70" i="6"/>
  <c r="C100" i="6" s="1"/>
  <c r="B70" i="6"/>
  <c r="B100" i="6"/>
  <c r="B118" i="6" s="1"/>
  <c r="B135" i="6" s="1"/>
  <c r="B149" i="6" s="1"/>
  <c r="B163" i="6" s="1"/>
  <c r="B177" i="6" s="1"/>
  <c r="G69" i="6"/>
  <c r="H69" i="6" s="1"/>
  <c r="B69" i="6"/>
  <c r="B99" i="6"/>
  <c r="B117" i="6" s="1"/>
  <c r="B134" i="6" s="1"/>
  <c r="B148" i="6"/>
  <c r="B162" i="6"/>
  <c r="B176" i="6" s="1"/>
  <c r="G68" i="6"/>
  <c r="I68" i="6"/>
  <c r="F98" i="6"/>
  <c r="D68" i="6"/>
  <c r="B68" i="6"/>
  <c r="B98" i="6"/>
  <c r="B116" i="6"/>
  <c r="B133" i="6"/>
  <c r="B147" i="6" s="1"/>
  <c r="B161" i="6" s="1"/>
  <c r="B175" i="6"/>
  <c r="B202" i="6" s="1"/>
  <c r="B217" i="6" s="1"/>
  <c r="B232" i="6" s="1"/>
  <c r="E97" i="2"/>
  <c r="E96" i="2"/>
  <c r="G56" i="2"/>
  <c r="G55" i="2"/>
  <c r="G54" i="2"/>
  <c r="B56" i="2"/>
  <c r="B74" i="2"/>
  <c r="B55" i="2"/>
  <c r="B73" i="2"/>
  <c r="B54" i="2"/>
  <c r="B72" i="2"/>
  <c r="E42" i="2"/>
  <c r="E41" i="2"/>
  <c r="B97" i="2"/>
  <c r="B107" i="2"/>
  <c r="B115" i="2"/>
  <c r="B123" i="2"/>
  <c r="B131" i="2"/>
  <c r="B98" i="2"/>
  <c r="B108" i="2"/>
  <c r="B116" i="2"/>
  <c r="B124" i="2"/>
  <c r="B132" i="2"/>
  <c r="B96" i="2"/>
  <c r="B106" i="2"/>
  <c r="B114" i="2"/>
  <c r="B122" i="2"/>
  <c r="B130" i="2"/>
  <c r="B145" i="2"/>
  <c r="B154" i="2"/>
  <c r="C120" i="2"/>
  <c r="H112" i="2"/>
  <c r="D72" i="6"/>
  <c r="D70" i="6"/>
  <c r="E70" i="6"/>
  <c r="F70" i="6"/>
  <c r="I70" i="6"/>
  <c r="F100" i="6" s="1"/>
  <c r="D71" i="6"/>
  <c r="E71" i="6"/>
  <c r="F71" i="6"/>
  <c r="C141" i="2"/>
  <c r="H72" i="6"/>
  <c r="C102" i="6" s="1"/>
  <c r="H55" i="2"/>
  <c r="C73" i="2"/>
  <c r="E72" i="6"/>
  <c r="F72" i="6" s="1"/>
  <c r="B238" i="6"/>
  <c r="B139" i="2"/>
  <c r="E68" i="6"/>
  <c r="F68" i="6"/>
  <c r="B141" i="2"/>
  <c r="B147" i="2"/>
  <c r="B156" i="2"/>
  <c r="B140" i="2"/>
  <c r="B146" i="2"/>
  <c r="B155" i="2"/>
  <c r="B190" i="6"/>
  <c r="H68" i="6"/>
  <c r="C98" i="6" s="1"/>
  <c r="H108" i="2"/>
  <c r="J108" i="2"/>
  <c r="H116" i="2"/>
  <c r="D108" i="2"/>
  <c r="E108" i="2" s="1"/>
  <c r="G108" i="2" s="1"/>
  <c r="I108" i="2" s="1"/>
  <c r="K108" i="2" s="1"/>
  <c r="F108" i="2"/>
  <c r="J107" i="2"/>
  <c r="D107" i="2"/>
  <c r="E107" i="2"/>
  <c r="G107" i="2" s="1"/>
  <c r="I107" i="2" s="1"/>
  <c r="K107" i="2" s="1"/>
  <c r="H115" i="2"/>
  <c r="H107" i="2"/>
  <c r="F107" i="2"/>
  <c r="F106" i="2"/>
  <c r="H114" i="2"/>
  <c r="H106" i="2"/>
  <c r="J106" i="2"/>
  <c r="D106" i="2"/>
  <c r="E106" i="2" s="1"/>
  <c r="G106" i="2" s="1"/>
  <c r="I106" i="2" s="1"/>
  <c r="K106" i="2" s="1"/>
  <c r="C139" i="2"/>
  <c r="I55" i="2"/>
  <c r="F73" i="2"/>
  <c r="F55" i="2"/>
  <c r="F56" i="2"/>
  <c r="I54" i="2"/>
  <c r="F54" i="2"/>
  <c r="H54" i="2"/>
  <c r="E47" i="2"/>
  <c r="I60" i="2"/>
  <c r="E46" i="2"/>
  <c r="H60" i="2"/>
  <c r="H138" i="6"/>
  <c r="J140" i="6"/>
  <c r="F139" i="6"/>
  <c r="J139" i="6"/>
  <c r="F135" i="6"/>
  <c r="H134" i="6"/>
  <c r="J134" i="6"/>
  <c r="F134" i="6"/>
  <c r="D233" i="6"/>
  <c r="D134" i="6"/>
  <c r="E134" i="6"/>
  <c r="G134" i="6" s="1"/>
  <c r="I134" i="6" s="1"/>
  <c r="K134" i="6" s="1"/>
  <c r="D232" i="6"/>
  <c r="J133" i="6"/>
  <c r="D137" i="6"/>
  <c r="E137" i="6"/>
  <c r="H151" i="6"/>
  <c r="C194" i="6"/>
  <c r="H137" i="6"/>
  <c r="H58" i="2"/>
  <c r="H61" i="2"/>
  <c r="C72" i="2"/>
  <c r="C76" i="2"/>
  <c r="H63" i="2"/>
  <c r="D72" i="2"/>
  <c r="E72" i="2"/>
  <c r="F72" i="2"/>
  <c r="F76" i="2"/>
  <c r="I58" i="2"/>
  <c r="I61" i="2"/>
  <c r="I63" i="2"/>
  <c r="D74" i="2"/>
  <c r="E74" i="2"/>
  <c r="G72" i="2"/>
  <c r="H72" i="2"/>
  <c r="G73" i="2"/>
  <c r="H73" i="2"/>
  <c r="G74" i="2"/>
  <c r="H74" i="2"/>
  <c r="I74" i="2"/>
  <c r="C87" i="2"/>
  <c r="E87" i="2"/>
  <c r="D73" i="2"/>
  <c r="E73" i="2"/>
  <c r="E76" i="2"/>
  <c r="I72" i="2"/>
  <c r="I73" i="2"/>
  <c r="C86" i="2"/>
  <c r="E86" i="2"/>
  <c r="H76" i="2"/>
  <c r="D141" i="2"/>
  <c r="C98" i="2"/>
  <c r="C116" i="2"/>
  <c r="C97" i="2"/>
  <c r="C115" i="2"/>
  <c r="D140" i="2"/>
  <c r="C85" i="2"/>
  <c r="E85" i="2"/>
  <c r="I76" i="2"/>
  <c r="D116" i="2"/>
  <c r="E141" i="2"/>
  <c r="F141" i="2"/>
  <c r="C147" i="2"/>
  <c r="E89" i="2"/>
  <c r="C96" i="2"/>
  <c r="C114" i="2"/>
  <c r="D139" i="2"/>
  <c r="D115" i="2"/>
  <c r="E140" i="2"/>
  <c r="F140" i="2"/>
  <c r="C146" i="2"/>
  <c r="E115" i="2"/>
  <c r="F115" i="2"/>
  <c r="G115" i="2"/>
  <c r="J146" i="2"/>
  <c r="H146" i="2"/>
  <c r="D146" i="2"/>
  <c r="E146" i="2"/>
  <c r="F146" i="2"/>
  <c r="G146" i="2" s="1"/>
  <c r="I146" i="2" s="1"/>
  <c r="K146" i="2" s="1"/>
  <c r="D155" i="2" s="1"/>
  <c r="H147" i="2"/>
  <c r="D147" i="2"/>
  <c r="E147" i="2"/>
  <c r="G147" i="2" s="1"/>
  <c r="I147" i="2" s="1"/>
  <c r="K147" i="2" s="1"/>
  <c r="D156" i="2" s="1"/>
  <c r="J147" i="2"/>
  <c r="F147" i="2"/>
  <c r="D114" i="2"/>
  <c r="E139" i="2"/>
  <c r="F139" i="2"/>
  <c r="C145" i="2"/>
  <c r="E116" i="2"/>
  <c r="H131" i="2"/>
  <c r="E114" i="2"/>
  <c r="H130" i="2"/>
  <c r="F131" i="2"/>
  <c r="I115" i="2"/>
  <c r="C123" i="2"/>
  <c r="D145" i="2"/>
  <c r="E145" i="2" s="1"/>
  <c r="G145" i="2" s="1"/>
  <c r="I145" i="2" s="1"/>
  <c r="K145" i="2" s="1"/>
  <c r="D154" i="2" s="1"/>
  <c r="J145" i="2"/>
  <c r="H145" i="2"/>
  <c r="F145" i="2"/>
  <c r="F114" i="2"/>
  <c r="G114" i="2"/>
  <c r="F116" i="2"/>
  <c r="G116" i="2"/>
  <c r="H132" i="2"/>
  <c r="F123" i="2"/>
  <c r="H123" i="2"/>
  <c r="D123" i="2"/>
  <c r="E123" i="2" s="1"/>
  <c r="G123" i="2" s="1"/>
  <c r="I123" i="2" s="1"/>
  <c r="K123" i="2" s="1"/>
  <c r="D131" i="2" s="1"/>
  <c r="J123" i="2"/>
  <c r="I114" i="2"/>
  <c r="C122" i="2"/>
  <c r="F130" i="2"/>
  <c r="I116" i="2"/>
  <c r="C124" i="2"/>
  <c r="F132" i="2"/>
  <c r="H124" i="2"/>
  <c r="F124" i="2"/>
  <c r="D124" i="2"/>
  <c r="E124" i="2"/>
  <c r="G124" i="2" s="1"/>
  <c r="I124" i="2" s="1"/>
  <c r="K124" i="2" s="1"/>
  <c r="D132" i="2" s="1"/>
  <c r="J124" i="2"/>
  <c r="D122" i="2"/>
  <c r="E122" i="2" s="1"/>
  <c r="G122" i="2" s="1"/>
  <c r="I122" i="2" s="1"/>
  <c r="K122" i="2" s="1"/>
  <c r="D130" i="2" s="1"/>
  <c r="H122" i="2"/>
  <c r="F122" i="2"/>
  <c r="J122" i="2"/>
  <c r="B209" i="6" l="1"/>
  <c r="B224" i="6" s="1"/>
  <c r="B239" i="6" s="1"/>
  <c r="B197" i="6"/>
  <c r="F136" i="6"/>
  <c r="J136" i="6"/>
  <c r="C193" i="6"/>
  <c r="D235" i="6"/>
  <c r="D136" i="6"/>
  <c r="E136" i="6" s="1"/>
  <c r="G136" i="6" s="1"/>
  <c r="I136" i="6" s="1"/>
  <c r="K136" i="6" s="1"/>
  <c r="H136" i="6"/>
  <c r="H150" i="6"/>
  <c r="B195" i="6"/>
  <c r="B207" i="6"/>
  <c r="B222" i="6" s="1"/>
  <c r="B237" i="6" s="1"/>
  <c r="B210" i="6"/>
  <c r="B225" i="6" s="1"/>
  <c r="B240" i="6" s="1"/>
  <c r="B198" i="6"/>
  <c r="B192" i="6"/>
  <c r="B204" i="6"/>
  <c r="B219" i="6" s="1"/>
  <c r="B234" i="6" s="1"/>
  <c r="D240" i="6"/>
  <c r="D141" i="6"/>
  <c r="E141" i="6" s="1"/>
  <c r="G141" i="6" s="1"/>
  <c r="I141" i="6" s="1"/>
  <c r="K141" i="6" s="1"/>
  <c r="H141" i="6"/>
  <c r="H155" i="6"/>
  <c r="F141" i="6"/>
  <c r="J141" i="6"/>
  <c r="C198" i="6"/>
  <c r="E57" i="6"/>
  <c r="I80" i="6" s="1"/>
  <c r="E56" i="6"/>
  <c r="H80" i="6" s="1"/>
  <c r="B191" i="6"/>
  <c r="B203" i="6"/>
  <c r="B218" i="6" s="1"/>
  <c r="B233" i="6" s="1"/>
  <c r="B193" i="6"/>
  <c r="B205" i="6"/>
  <c r="B220" i="6" s="1"/>
  <c r="B235" i="6" s="1"/>
  <c r="D234" i="6"/>
  <c r="D135" i="6"/>
  <c r="E135" i="6" s="1"/>
  <c r="G135" i="6" s="1"/>
  <c r="H152" i="6"/>
  <c r="E138" i="6"/>
  <c r="J138" i="6"/>
  <c r="H154" i="6"/>
  <c r="D140" i="6"/>
  <c r="E140" i="6" s="1"/>
  <c r="C192" i="6"/>
  <c r="C195" i="6"/>
  <c r="C197" i="6"/>
  <c r="F140" i="6"/>
  <c r="F138" i="6"/>
  <c r="I76" i="6"/>
  <c r="F106" i="6" s="1"/>
  <c r="H76" i="6"/>
  <c r="C106" i="6" s="1"/>
  <c r="I74" i="6"/>
  <c r="F104" i="6" s="1"/>
  <c r="H74" i="6"/>
  <c r="C104" i="6" s="1"/>
  <c r="H147" i="6"/>
  <c r="C190" i="6"/>
  <c r="H153" i="6"/>
  <c r="H139" i="6"/>
  <c r="H133" i="6"/>
  <c r="H149" i="6"/>
  <c r="H135" i="6"/>
  <c r="D239" i="6"/>
  <c r="D237" i="6"/>
  <c r="D238" i="6"/>
  <c r="F137" i="6"/>
  <c r="G137" i="6" s="1"/>
  <c r="I137" i="6" s="1"/>
  <c r="K137" i="6" s="1"/>
  <c r="J137" i="6"/>
  <c r="D236" i="6"/>
  <c r="F133" i="6"/>
  <c r="D133" i="6"/>
  <c r="E133" i="6" s="1"/>
  <c r="G133" i="6" s="1"/>
  <c r="I133" i="6" s="1"/>
  <c r="K133" i="6" s="1"/>
  <c r="J135" i="6"/>
  <c r="D139" i="6"/>
  <c r="E139" i="6" s="1"/>
  <c r="G139" i="6" s="1"/>
  <c r="C196" i="6"/>
  <c r="H140" i="6"/>
  <c r="D138" i="6"/>
  <c r="B196" i="6"/>
  <c r="H73" i="6"/>
  <c r="C103" i="6" s="1"/>
  <c r="I73" i="6"/>
  <c r="F103" i="6" s="1"/>
  <c r="I75" i="6"/>
  <c r="F105" i="6" s="1"/>
  <c r="H148" i="6"/>
  <c r="I72" i="6"/>
  <c r="F102" i="6" s="1"/>
  <c r="J132" i="2"/>
  <c r="C132" i="2"/>
  <c r="C176" i="6"/>
  <c r="J131" i="2"/>
  <c r="C131" i="2"/>
  <c r="E131" i="2" s="1"/>
  <c r="G131" i="2" s="1"/>
  <c r="I131" i="2" s="1"/>
  <c r="K131" i="2" s="1"/>
  <c r="C155" i="2" s="1"/>
  <c r="E130" i="2"/>
  <c r="G130" i="2" s="1"/>
  <c r="I130" i="2" s="1"/>
  <c r="K130" i="2" s="1"/>
  <c r="C154" i="2" s="1"/>
  <c r="C130" i="2"/>
  <c r="J130" i="2"/>
  <c r="E132" i="2"/>
  <c r="G132" i="2" s="1"/>
  <c r="I132" i="2" s="1"/>
  <c r="K132" i="2" s="1"/>
  <c r="C156" i="2" s="1"/>
  <c r="B194" i="6"/>
  <c r="B206" i="6"/>
  <c r="B221" i="6" s="1"/>
  <c r="B236" i="6" s="1"/>
  <c r="I71" i="6"/>
  <c r="F101" i="6" s="1"/>
  <c r="C99" i="6"/>
  <c r="I69" i="6"/>
  <c r="J175" i="6" l="1"/>
  <c r="C175" i="6"/>
  <c r="J179" i="6"/>
  <c r="C179" i="6"/>
  <c r="C178" i="6"/>
  <c r="J178" i="6"/>
  <c r="C183" i="6"/>
  <c r="J183" i="6"/>
  <c r="G138" i="6"/>
  <c r="I138" i="6" s="1"/>
  <c r="K138" i="6" s="1"/>
  <c r="G140" i="6"/>
  <c r="I140" i="6" s="1"/>
  <c r="K140" i="6" s="1"/>
  <c r="I139" i="6"/>
  <c r="K139" i="6" s="1"/>
  <c r="I135" i="6"/>
  <c r="K135" i="6" s="1"/>
  <c r="H78" i="6"/>
  <c r="H81" i="6" s="1"/>
  <c r="H83" i="6" s="1"/>
  <c r="D98" i="6" s="1"/>
  <c r="E98" i="6" s="1"/>
  <c r="E155" i="2"/>
  <c r="F155" i="2"/>
  <c r="E154" i="2"/>
  <c r="F154" i="2"/>
  <c r="E156" i="2"/>
  <c r="F156" i="2"/>
  <c r="C108" i="6"/>
  <c r="F99" i="6"/>
  <c r="I78" i="6"/>
  <c r="I81" i="6" s="1"/>
  <c r="I83" i="6" s="1"/>
  <c r="D103" i="6"/>
  <c r="E103" i="6" s="1"/>
  <c r="D100" i="6"/>
  <c r="E100" i="6" s="1"/>
  <c r="D104" i="6"/>
  <c r="E104" i="6" s="1"/>
  <c r="D106" i="6"/>
  <c r="E106" i="6" s="1"/>
  <c r="D102" i="6"/>
  <c r="E102" i="6" s="1"/>
  <c r="D101" i="6"/>
  <c r="E101" i="6" s="1"/>
  <c r="D105" i="6"/>
  <c r="E105" i="6" s="1"/>
  <c r="C181" i="6" l="1"/>
  <c r="J181" i="6"/>
  <c r="J182" i="6"/>
  <c r="C182" i="6"/>
  <c r="C180" i="6"/>
  <c r="J180" i="6"/>
  <c r="D99" i="6"/>
  <c r="E99" i="6" s="1"/>
  <c r="J177" i="6"/>
  <c r="C177" i="6"/>
  <c r="F108" i="6"/>
  <c r="E108" i="6"/>
  <c r="G104" i="6"/>
  <c r="H104" i="6" s="1"/>
  <c r="I104" i="6" s="1"/>
  <c r="G100" i="6"/>
  <c r="H100" i="6" s="1"/>
  <c r="G105" i="6"/>
  <c r="H105" i="6" s="1"/>
  <c r="G99" i="6"/>
  <c r="H99" i="6" s="1"/>
  <c r="I99" i="6" s="1"/>
  <c r="G98" i="6"/>
  <c r="H98" i="6" s="1"/>
  <c r="I98" i="6" s="1"/>
  <c r="G101" i="6"/>
  <c r="H101" i="6" s="1"/>
  <c r="I101" i="6" s="1"/>
  <c r="G106" i="6"/>
  <c r="H106" i="6" s="1"/>
  <c r="I106" i="6" s="1"/>
  <c r="G103" i="6"/>
  <c r="H103" i="6" s="1"/>
  <c r="I103" i="6" s="1"/>
  <c r="G102" i="6"/>
  <c r="H102" i="6" s="1"/>
  <c r="I102" i="6" s="1"/>
  <c r="I100" i="6"/>
  <c r="I105" i="6"/>
  <c r="C117" i="6" l="1"/>
  <c r="C233" i="6"/>
  <c r="D191" i="6"/>
  <c r="C235" i="6"/>
  <c r="C119" i="6"/>
  <c r="D193" i="6"/>
  <c r="C237" i="6"/>
  <c r="C121" i="6"/>
  <c r="D195" i="6"/>
  <c r="D198" i="6"/>
  <c r="C124" i="6"/>
  <c r="C240" i="6"/>
  <c r="D194" i="6"/>
  <c r="C236" i="6"/>
  <c r="C120" i="6"/>
  <c r="D197" i="6"/>
  <c r="C239" i="6"/>
  <c r="C123" i="6"/>
  <c r="C232" i="6"/>
  <c r="C116" i="6"/>
  <c r="D190" i="6"/>
  <c r="I108" i="6"/>
  <c r="C234" i="6"/>
  <c r="D192" i="6"/>
  <c r="C118" i="6"/>
  <c r="C238" i="6"/>
  <c r="C122" i="6"/>
  <c r="D196" i="6"/>
  <c r="H108" i="6"/>
  <c r="C154" i="6" l="1"/>
  <c r="B53" i="8"/>
  <c r="F39" i="8" s="1"/>
  <c r="G39" i="8" s="1"/>
  <c r="C149" i="6"/>
  <c r="E149" i="6" s="1"/>
  <c r="B48" i="8"/>
  <c r="F34" i="8" s="1"/>
  <c r="G34" i="8" s="1"/>
  <c r="C150" i="6"/>
  <c r="B49" i="8"/>
  <c r="F35" i="8" s="1"/>
  <c r="G35" i="8" s="1"/>
  <c r="C148" i="6"/>
  <c r="B47" i="8"/>
  <c r="F33" i="8" s="1"/>
  <c r="G33" i="8" s="1"/>
  <c r="C147" i="6"/>
  <c r="D147" i="6" s="1"/>
  <c r="E190" i="6" s="1"/>
  <c r="F190" i="6" s="1"/>
  <c r="C202" i="6" s="1"/>
  <c r="C125" i="6"/>
  <c r="B46" i="8"/>
  <c r="C152" i="6"/>
  <c r="B51" i="8"/>
  <c r="F37" i="8" s="1"/>
  <c r="G37" i="8" s="1"/>
  <c r="C153" i="6"/>
  <c r="D153" i="6" s="1"/>
  <c r="E196" i="6" s="1"/>
  <c r="F196" i="6" s="1"/>
  <c r="C208" i="6" s="1"/>
  <c r="B52" i="8"/>
  <c r="F38" i="8" s="1"/>
  <c r="G38" i="8" s="1"/>
  <c r="C151" i="6"/>
  <c r="B50" i="8"/>
  <c r="F36" i="8" s="1"/>
  <c r="G36" i="8" s="1"/>
  <c r="C155" i="6"/>
  <c r="D155" i="6" s="1"/>
  <c r="E198" i="6" s="1"/>
  <c r="F198" i="6" s="1"/>
  <c r="C210" i="6" s="1"/>
  <c r="B54" i="8"/>
  <c r="F40" i="8" s="1"/>
  <c r="G40" i="8" s="1"/>
  <c r="D154" i="6"/>
  <c r="E197" i="6" s="1"/>
  <c r="F197" i="6" s="1"/>
  <c r="C209" i="6" s="1"/>
  <c r="D152" i="6"/>
  <c r="E195" i="6" s="1"/>
  <c r="F195" i="6" s="1"/>
  <c r="C207" i="6" s="1"/>
  <c r="D151" i="6"/>
  <c r="E194" i="6" s="1"/>
  <c r="F194" i="6" s="1"/>
  <c r="C206" i="6" s="1"/>
  <c r="D149" i="6"/>
  <c r="E192" i="6" s="1"/>
  <c r="F192" i="6" s="1"/>
  <c r="C204" i="6" s="1"/>
  <c r="D150" i="6"/>
  <c r="E193" i="6" s="1"/>
  <c r="F193" i="6" s="1"/>
  <c r="C205" i="6" s="1"/>
  <c r="D148" i="6"/>
  <c r="E191" i="6" s="1"/>
  <c r="F191" i="6" s="1"/>
  <c r="C203" i="6" s="1"/>
  <c r="B55" i="8" l="1"/>
  <c r="F32" i="8"/>
  <c r="F41" i="8" s="1"/>
  <c r="E152" i="6"/>
  <c r="F152" i="6" s="1"/>
  <c r="G152" i="6" s="1"/>
  <c r="G41" i="8"/>
  <c r="E155" i="6"/>
  <c r="F155" i="6" s="1"/>
  <c r="G155" i="6" s="1"/>
  <c r="E153" i="6"/>
  <c r="F153" i="6" s="1"/>
  <c r="G153" i="6" s="1"/>
  <c r="E154" i="6"/>
  <c r="H182" i="6" s="1"/>
  <c r="D206" i="6"/>
  <c r="E206" i="6" s="1"/>
  <c r="J206" i="6"/>
  <c r="H206" i="6"/>
  <c r="F206" i="6"/>
  <c r="H183" i="6"/>
  <c r="H202" i="6"/>
  <c r="F202" i="6"/>
  <c r="J202" i="6"/>
  <c r="D202" i="6"/>
  <c r="E202" i="6" s="1"/>
  <c r="J207" i="6"/>
  <c r="D207" i="6"/>
  <c r="E207" i="6" s="1"/>
  <c r="H207" i="6"/>
  <c r="F207" i="6"/>
  <c r="E148" i="6"/>
  <c r="F149" i="6"/>
  <c r="G149" i="6" s="1"/>
  <c r="H177" i="6"/>
  <c r="H181" i="6"/>
  <c r="H205" i="6"/>
  <c r="D205" i="6"/>
  <c r="E205" i="6" s="1"/>
  <c r="F205" i="6"/>
  <c r="J205" i="6"/>
  <c r="H180" i="6"/>
  <c r="H203" i="6"/>
  <c r="J203" i="6"/>
  <c r="F203" i="6"/>
  <c r="D203" i="6"/>
  <c r="E203" i="6" s="1"/>
  <c r="E151" i="6"/>
  <c r="D210" i="6"/>
  <c r="E210" i="6" s="1"/>
  <c r="H210" i="6"/>
  <c r="F210" i="6"/>
  <c r="J210" i="6"/>
  <c r="E150" i="6"/>
  <c r="H204" i="6"/>
  <c r="J204" i="6"/>
  <c r="D204" i="6"/>
  <c r="E204" i="6" s="1"/>
  <c r="F204" i="6"/>
  <c r="D208" i="6"/>
  <c r="E208" i="6" s="1"/>
  <c r="F208" i="6"/>
  <c r="H208" i="6"/>
  <c r="J208" i="6"/>
  <c r="D209" i="6"/>
  <c r="E209" i="6" s="1"/>
  <c r="F209" i="6"/>
  <c r="J209" i="6"/>
  <c r="H209" i="6"/>
  <c r="E147" i="6"/>
  <c r="G209" i="6" l="1"/>
  <c r="I209" i="6" s="1"/>
  <c r="K209" i="6" s="1"/>
  <c r="D224" i="6" s="1"/>
  <c r="G210" i="6"/>
  <c r="I210" i="6" s="1"/>
  <c r="K210" i="6" s="1"/>
  <c r="D225" i="6" s="1"/>
  <c r="F154" i="6"/>
  <c r="G154" i="6" s="1"/>
  <c r="I154" i="6" s="1"/>
  <c r="C168" i="6" s="1"/>
  <c r="G205" i="6"/>
  <c r="I205" i="6" s="1"/>
  <c r="K205" i="6" s="1"/>
  <c r="D220" i="6" s="1"/>
  <c r="G208" i="6"/>
  <c r="I208" i="6" s="1"/>
  <c r="K208" i="6" s="1"/>
  <c r="D223" i="6" s="1"/>
  <c r="G202" i="6"/>
  <c r="I202" i="6" s="1"/>
  <c r="K202" i="6" s="1"/>
  <c r="D217" i="6" s="1"/>
  <c r="F147" i="6"/>
  <c r="G147" i="6" s="1"/>
  <c r="H175" i="6"/>
  <c r="G204" i="6"/>
  <c r="I204" i="6" s="1"/>
  <c r="K204" i="6" s="1"/>
  <c r="D219" i="6" s="1"/>
  <c r="H179" i="6"/>
  <c r="F151" i="6"/>
  <c r="G151" i="6" s="1"/>
  <c r="I149" i="6"/>
  <c r="C163" i="6" s="1"/>
  <c r="F177" i="6"/>
  <c r="G207" i="6"/>
  <c r="I207" i="6" s="1"/>
  <c r="K207" i="6" s="1"/>
  <c r="D222" i="6" s="1"/>
  <c r="I155" i="6"/>
  <c r="C169" i="6" s="1"/>
  <c r="F183" i="6"/>
  <c r="I153" i="6"/>
  <c r="C167" i="6" s="1"/>
  <c r="F181" i="6"/>
  <c r="H178" i="6"/>
  <c r="F150" i="6"/>
  <c r="G150" i="6" s="1"/>
  <c r="G203" i="6"/>
  <c r="I203" i="6" s="1"/>
  <c r="K203" i="6" s="1"/>
  <c r="D218" i="6" s="1"/>
  <c r="F180" i="6"/>
  <c r="I152" i="6"/>
  <c r="C166" i="6" s="1"/>
  <c r="H176" i="6"/>
  <c r="F148" i="6"/>
  <c r="G148" i="6" s="1"/>
  <c r="G206" i="6"/>
  <c r="I206" i="6" s="1"/>
  <c r="K206" i="6" s="1"/>
  <c r="D221" i="6" s="1"/>
  <c r="F182" i="6" l="1"/>
  <c r="I151" i="6"/>
  <c r="C165" i="6" s="1"/>
  <c r="F179" i="6"/>
  <c r="F178" i="6"/>
  <c r="I150" i="6"/>
  <c r="C164" i="6" s="1"/>
  <c r="F167" i="6"/>
  <c r="J167" i="6"/>
  <c r="H167" i="6"/>
  <c r="D167" i="6"/>
  <c r="E167" i="6" s="1"/>
  <c r="H168" i="6"/>
  <c r="D168" i="6"/>
  <c r="E168" i="6" s="1"/>
  <c r="F168" i="6"/>
  <c r="J168" i="6"/>
  <c r="I148" i="6"/>
  <c r="C162" i="6" s="1"/>
  <c r="F176" i="6"/>
  <c r="J169" i="6"/>
  <c r="H169" i="6"/>
  <c r="F169" i="6"/>
  <c r="D169" i="6"/>
  <c r="E169" i="6" s="1"/>
  <c r="F175" i="6"/>
  <c r="G175" i="6" s="1"/>
  <c r="I175" i="6" s="1"/>
  <c r="K175" i="6" s="1"/>
  <c r="C217" i="6" s="1"/>
  <c r="I147" i="6"/>
  <c r="C161" i="6" s="1"/>
  <c r="J166" i="6"/>
  <c r="D166" i="6"/>
  <c r="E166" i="6" s="1"/>
  <c r="H166" i="6"/>
  <c r="F166" i="6"/>
  <c r="H163" i="6"/>
  <c r="J163" i="6"/>
  <c r="D163" i="6"/>
  <c r="E163" i="6" s="1"/>
  <c r="F163" i="6"/>
  <c r="G168" i="6" l="1"/>
  <c r="I168" i="6" s="1"/>
  <c r="K168" i="6" s="1"/>
  <c r="D182" i="6" s="1"/>
  <c r="E182" i="6" s="1"/>
  <c r="G182" i="6" s="1"/>
  <c r="I182" i="6" s="1"/>
  <c r="K182" i="6" s="1"/>
  <c r="C224" i="6" s="1"/>
  <c r="F224" i="6" s="1"/>
  <c r="E239" i="6" s="1"/>
  <c r="F239" i="6" s="1"/>
  <c r="G167" i="6"/>
  <c r="I167" i="6" s="1"/>
  <c r="K167" i="6" s="1"/>
  <c r="D181" i="6" s="1"/>
  <c r="E181" i="6" s="1"/>
  <c r="G181" i="6" s="1"/>
  <c r="I181" i="6" s="1"/>
  <c r="K181" i="6" s="1"/>
  <c r="C223" i="6" s="1"/>
  <c r="E223" i="6" s="1"/>
  <c r="G166" i="6"/>
  <c r="I166" i="6" s="1"/>
  <c r="K166" i="6" s="1"/>
  <c r="D180" i="6" s="1"/>
  <c r="E180" i="6" s="1"/>
  <c r="G180" i="6" s="1"/>
  <c r="I180" i="6" s="1"/>
  <c r="K180" i="6" s="1"/>
  <c r="C222" i="6" s="1"/>
  <c r="G169" i="6"/>
  <c r="I169" i="6" s="1"/>
  <c r="K169" i="6" s="1"/>
  <c r="D183" i="6" s="1"/>
  <c r="E183" i="6" s="1"/>
  <c r="G183" i="6" s="1"/>
  <c r="I183" i="6" s="1"/>
  <c r="K183" i="6" s="1"/>
  <c r="C225" i="6" s="1"/>
  <c r="E217" i="6"/>
  <c r="F217" i="6"/>
  <c r="E232" i="6" s="1"/>
  <c r="F232" i="6" s="1"/>
  <c r="G163" i="6"/>
  <c r="I163" i="6" s="1"/>
  <c r="K163" i="6" s="1"/>
  <c r="D177" i="6" s="1"/>
  <c r="E177" i="6" s="1"/>
  <c r="G177" i="6" s="1"/>
  <c r="I177" i="6" s="1"/>
  <c r="K177" i="6" s="1"/>
  <c r="C219" i="6" s="1"/>
  <c r="H162" i="6"/>
  <c r="D162" i="6"/>
  <c r="E162" i="6" s="1"/>
  <c r="F162" i="6"/>
  <c r="J162" i="6"/>
  <c r="H164" i="6"/>
  <c r="J164" i="6"/>
  <c r="F164" i="6"/>
  <c r="D164" i="6"/>
  <c r="E164" i="6" s="1"/>
  <c r="F161" i="6"/>
  <c r="J161" i="6"/>
  <c r="H161" i="6"/>
  <c r="D161" i="6"/>
  <c r="E161" i="6" s="1"/>
  <c r="D165" i="6"/>
  <c r="E165" i="6" s="1"/>
  <c r="F165" i="6"/>
  <c r="J165" i="6"/>
  <c r="H165" i="6"/>
  <c r="E224" i="6" l="1"/>
  <c r="G164" i="6"/>
  <c r="I164" i="6" s="1"/>
  <c r="K164" i="6" s="1"/>
  <c r="D178" i="6" s="1"/>
  <c r="E178" i="6" s="1"/>
  <c r="G178" i="6" s="1"/>
  <c r="I178" i="6" s="1"/>
  <c r="K178" i="6" s="1"/>
  <c r="C220" i="6" s="1"/>
  <c r="E222" i="6"/>
  <c r="F222" i="6"/>
  <c r="E237" i="6" s="1"/>
  <c r="F237" i="6" s="1"/>
  <c r="F223" i="6"/>
  <c r="E238" i="6" s="1"/>
  <c r="F238" i="6" s="1"/>
  <c r="G162" i="6"/>
  <c r="I162" i="6" s="1"/>
  <c r="K162" i="6" s="1"/>
  <c r="D176" i="6" s="1"/>
  <c r="E176" i="6" s="1"/>
  <c r="G176" i="6" s="1"/>
  <c r="I176" i="6" s="1"/>
  <c r="K176" i="6" s="1"/>
  <c r="C218" i="6" s="1"/>
  <c r="E218" i="6" s="1"/>
  <c r="G165" i="6"/>
  <c r="I165" i="6" s="1"/>
  <c r="K165" i="6" s="1"/>
  <c r="D179" i="6" s="1"/>
  <c r="E179" i="6" s="1"/>
  <c r="G179" i="6" s="1"/>
  <c r="I179" i="6" s="1"/>
  <c r="K179" i="6" s="1"/>
  <c r="C221" i="6" s="1"/>
  <c r="F221" i="6" s="1"/>
  <c r="E236" i="6" s="1"/>
  <c r="F236" i="6" s="1"/>
  <c r="E219" i="6"/>
  <c r="F219" i="6"/>
  <c r="E234" i="6" s="1"/>
  <c r="F234" i="6" s="1"/>
  <c r="G161" i="6"/>
  <c r="I161" i="6" s="1"/>
  <c r="K161" i="6" s="1"/>
  <c r="D175" i="6" s="1"/>
  <c r="E175" i="6" s="1"/>
  <c r="F225" i="6"/>
  <c r="E240" i="6" s="1"/>
  <c r="F240" i="6" s="1"/>
  <c r="E225" i="6"/>
  <c r="F218" i="6" l="1"/>
  <c r="E233" i="6" s="1"/>
  <c r="F233" i="6" s="1"/>
  <c r="E221" i="6"/>
  <c r="E220" i="6"/>
  <c r="F220" i="6"/>
  <c r="E235" i="6" s="1"/>
  <c r="F23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Leal Cueva</author>
  </authors>
  <commentList>
    <comment ref="F31" authorId="0" shapeId="0" xr:uid="{00000000-0006-0000-0100-000001000000}">
      <text>
        <r>
          <rPr>
            <sz val="8"/>
            <color indexed="81"/>
            <rFont val="Tahoma"/>
            <family val="2"/>
          </rPr>
          <t>Teclee una "X" en la celda que corresponda a los trabajadores o empleados que no son elegibles para recibir PTU.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Leal Cueva</author>
  </authors>
  <commentList>
    <comment ref="F28" authorId="0" shapeId="0" xr:uid="{00000000-0006-0000-0200-000001000000}">
      <text>
        <r>
          <rPr>
            <sz val="8"/>
            <color indexed="81"/>
            <rFont val="Tahoma"/>
            <family val="2"/>
          </rPr>
          <t>Teclee una "X" en la celda que corresponda a los trabajadores o empleados que no son elegibles para recibir PTU.</t>
        </r>
      </text>
    </comment>
  </commentList>
</comments>
</file>

<file path=xl/sharedStrings.xml><?xml version="1.0" encoding="utf-8"?>
<sst xmlns="http://schemas.openxmlformats.org/spreadsheetml/2006/main" count="569" uniqueCount="267">
  <si>
    <t xml:space="preserve">x </t>
  </si>
  <si>
    <t xml:space="preserve">Porcentaje de participación </t>
  </si>
  <si>
    <t xml:space="preserve">= </t>
  </si>
  <si>
    <t xml:space="preserve">+ </t>
  </si>
  <si>
    <t xml:space="preserve">- </t>
  </si>
  <si>
    <t xml:space="preserve">50% a repartir con base de días efectivamente laborados </t>
  </si>
  <si>
    <t xml:space="preserve">50% a repartir con base en salarios devengados </t>
  </si>
  <si>
    <t>[1]</t>
  </si>
  <si>
    <t>[2]</t>
  </si>
  <si>
    <t>[4] = [1 x 3]</t>
  </si>
  <si>
    <t>/</t>
  </si>
  <si>
    <t>Base de reparto correspondiente</t>
  </si>
  <si>
    <t>=</t>
  </si>
  <si>
    <t>Factor de PTU correspondiente</t>
  </si>
  <si>
    <t xml:space="preserve">Los directores, administradores y gerentes generales no participan en las utilidades de la empresa. </t>
  </si>
  <si>
    <t xml:space="preserve">Los empleados de confianza participan con su salario limitado al salario más alto de los trabajadores sindicalizados o de planta. </t>
  </si>
  <si>
    <t xml:space="preserve">Este operador es el trabajador sindicalizado de más alto salario, por lo que será este salario el máximo considerado para los trabajadores de confianza, incrementado en un 20% </t>
  </si>
  <si>
    <t>Salario más alto de trabajador sindicalizado o de planta</t>
  </si>
  <si>
    <t xml:space="preserve">Porcentaje en el que se aumenta </t>
  </si>
  <si>
    <t xml:space="preserve">Por ser trabajador de planta, no importa que no tenga los 60 días laborados, pues esta restricción es únicamente para los eventuales. </t>
  </si>
  <si>
    <t xml:space="preserve">En el total no se incluyen los datos de las personas sin derecho a PTU. </t>
  </si>
  <si>
    <t>[5]</t>
  </si>
  <si>
    <t>[6] = [5 x 1]</t>
  </si>
  <si>
    <t>[4]</t>
  </si>
  <si>
    <t>[7]</t>
  </si>
  <si>
    <t>[8] = [4 x 7]</t>
  </si>
  <si>
    <t>[9] = [6 + 8]</t>
  </si>
  <si>
    <t>Secretaria</t>
  </si>
  <si>
    <t>Total</t>
  </si>
  <si>
    <t>(1)</t>
  </si>
  <si>
    <t>(2)</t>
  </si>
  <si>
    <t>(3)</t>
  </si>
  <si>
    <t>(4)</t>
  </si>
  <si>
    <t>(5)</t>
  </si>
  <si>
    <t>Total (5)</t>
  </si>
  <si>
    <t>x</t>
  </si>
  <si>
    <t>+</t>
  </si>
  <si>
    <t>-</t>
  </si>
  <si>
    <t>[3] = [1 x 2]</t>
  </si>
  <si>
    <t>[4] = [2 x 30]</t>
  </si>
  <si>
    <t>Enfermera</t>
  </si>
  <si>
    <t>Asistente administrativo</t>
  </si>
  <si>
    <t>[3]</t>
  </si>
  <si>
    <t>[8] = [3 x 7]</t>
  </si>
  <si>
    <t>[9]</t>
  </si>
  <si>
    <t>[10] &lt;= [4]</t>
  </si>
  <si>
    <t>2. DATOS PARA DETERMINAR LA INDIVIDUALIZACIÓN DE LA PTU</t>
  </si>
  <si>
    <t>NOTAS</t>
  </si>
  <si>
    <t>3. INDIVIDUALIZACIÓN DE LA PTU</t>
  </si>
  <si>
    <t>Trabajadores</t>
  </si>
  <si>
    <t>Factor PTU por días laborados</t>
  </si>
  <si>
    <t>PTU por días laborados</t>
  </si>
  <si>
    <t>Salario devengado</t>
  </si>
  <si>
    <t>Factor PTU por salario devengado</t>
  </si>
  <si>
    <t>PTU por salario devengado</t>
  </si>
  <si>
    <t>Total de PTU por trabajador</t>
  </si>
  <si>
    <t>Días laborados</t>
  </si>
  <si>
    <t>Cuota diaria</t>
  </si>
  <si>
    <t>Total de salario a considerar</t>
  </si>
  <si>
    <t>Total de salario</t>
  </si>
  <si>
    <t>Días laborados a considerar</t>
  </si>
  <si>
    <t>No elegible
-Ingresar X-</t>
  </si>
  <si>
    <t>Días Laborados a considerar</t>
  </si>
  <si>
    <t>SOCIEDAD DE MÉDICOS, S.C.</t>
  </si>
  <si>
    <t>Cuota diaria (1)</t>
  </si>
  <si>
    <t>Total de salarios a considerar</t>
  </si>
  <si>
    <t>Salario mensual</t>
  </si>
  <si>
    <t>Salario mensual tope</t>
  </si>
  <si>
    <t>4. COMPARACIÓN ENTRE EL MONTO DE PTU INDIVIDUAL Y EL SALARIO MENSUAL</t>
  </si>
  <si>
    <t>PTU por empleado</t>
  </si>
  <si>
    <t>Base gravable</t>
  </si>
  <si>
    <t>Diferencia</t>
  </si>
  <si>
    <t>Subsidio al empleo</t>
  </si>
  <si>
    <t>Impuesto</t>
  </si>
  <si>
    <t>Cuota fija</t>
  </si>
  <si>
    <t>Impuesto marginal</t>
  </si>
  <si>
    <t>Tasa</t>
  </si>
  <si>
    <t>Límite inferior</t>
  </si>
  <si>
    <t>PTU</t>
  </si>
  <si>
    <t>Último sueldo mensual ordinario</t>
  </si>
  <si>
    <t>Salario Mínimo del Área</t>
  </si>
  <si>
    <t>Úlitmo sueldo mensual ordinario</t>
  </si>
  <si>
    <t>En adelante</t>
  </si>
  <si>
    <t>$</t>
  </si>
  <si>
    <t>al salario</t>
  </si>
  <si>
    <t xml:space="preserve"> superior</t>
  </si>
  <si>
    <t xml:space="preserve"> inferior</t>
  </si>
  <si>
    <t>Crédito</t>
  </si>
  <si>
    <t xml:space="preserve"> Límite</t>
  </si>
  <si>
    <t>SUBSIDIO AL EMPLEO MENSUAL</t>
  </si>
  <si>
    <t>%</t>
  </si>
  <si>
    <t xml:space="preserve"> del límite inferior</t>
  </si>
  <si>
    <t xml:space="preserve"> fija</t>
  </si>
  <si>
    <t>Porcentaje sobre excedente</t>
  </si>
  <si>
    <t xml:space="preserve"> Cuota</t>
  </si>
  <si>
    <t>4. DETERMINACIÓN DEL ISR A RETENER</t>
  </si>
  <si>
    <t>4.1. DATOS</t>
  </si>
  <si>
    <t>4.2.1. Determinación del ISR de la última percepción ordinaria</t>
  </si>
  <si>
    <t xml:space="preserve">(1) Debido a que para este caso particular no hay trabajadores sindicalizados o de planta, la cuota diaria de los empleados de confianza no se ve limitada. </t>
  </si>
  <si>
    <t>[3] = [1 - 2]</t>
  </si>
  <si>
    <t>[5] = [3 x 4]</t>
  </si>
  <si>
    <t>[6]</t>
  </si>
  <si>
    <t>[7] = [5 + 6]</t>
  </si>
  <si>
    <t>[8]</t>
  </si>
  <si>
    <t>[9] = [7 - 8]</t>
  </si>
  <si>
    <t>[10]</t>
  </si>
  <si>
    <t>[11]</t>
  </si>
  <si>
    <t>[12] = [10 - 11]</t>
  </si>
  <si>
    <t>Entre 365</t>
  </si>
  <si>
    <t>[13] = [12] / 365</t>
  </si>
  <si>
    <t>Percepción mensualizada</t>
  </si>
  <si>
    <t>[14] = [13] x 30.4</t>
  </si>
  <si>
    <t>Base gravable opcional</t>
  </si>
  <si>
    <t>[15] = [14 + 1]</t>
  </si>
  <si>
    <t>[15]</t>
  </si>
  <si>
    <t>[16] = [7 - 8]</t>
  </si>
  <si>
    <t>4.2.3. Determinación del ISR sobre base mensualizada</t>
  </si>
  <si>
    <t>4.2.4. Determinación de la tasa de retención opcional</t>
  </si>
  <si>
    <t>Impuesto a cargo ordinario</t>
  </si>
  <si>
    <t>Impuesto a cargo mensualizado</t>
  </si>
  <si>
    <t>[16]</t>
  </si>
  <si>
    <t>[17] = [16 - 9]</t>
  </si>
  <si>
    <t>[14]</t>
  </si>
  <si>
    <t>Tasa de retención</t>
  </si>
  <si>
    <t>[18] = [17 / 14]</t>
  </si>
  <si>
    <t>[19] = [18 x 15]</t>
  </si>
  <si>
    <t>4.3. DETERMINACIÓN DE LA RETENCIÓN DE ISR MEDIANTE PROCEDIMIENTO DE LEY</t>
  </si>
  <si>
    <t>Impuesto a cargo</t>
  </si>
  <si>
    <t>4.4. COMPARACIÓN ENTRE MECANISMOS DE RETENCIÓN DE ISR</t>
  </si>
  <si>
    <t>[12]</t>
  </si>
  <si>
    <t>[20]</t>
  </si>
  <si>
    <t>Retención opcional</t>
  </si>
  <si>
    <t>5. DETERMINACIÓN DEL ISR A RETENER</t>
  </si>
  <si>
    <t>5.1. DATOS</t>
  </si>
  <si>
    <t>5.2. DETERMINACIÓN DEL ISR MEDIANTE PROCEDIMIENTO OPTATIVO DEL ARTÍCULO 142 DEL REGLAMENTO DE LA LEY DEL ISR</t>
  </si>
  <si>
    <t>5.2.1. Determinación del ISR de la última percepción ordinaria</t>
  </si>
  <si>
    <t>5.2.3. Determinación del ISR sobre base mensualizada</t>
  </si>
  <si>
    <t>5.3. DETERMINACIÓN DE LA RETENCIÓN DE ISR MEDIANTE PROCEDIMIENTO DE LEY</t>
  </si>
  <si>
    <t>5.2.4. Determinación de la tasa de retención opcional</t>
  </si>
  <si>
    <t>5.4. COMPARACIÓN ENTRE MECANISMOS DE RETENCIÓN DE ISR</t>
  </si>
  <si>
    <t>Retención menos gravosa</t>
  </si>
  <si>
    <t>4.5. RESUMEN</t>
  </si>
  <si>
    <t>Percepción neta</t>
  </si>
  <si>
    <t>CONTENIDO</t>
  </si>
  <si>
    <t xml:space="preserve">     4.2.1. Determinación del ISR de la última percepción ordinaria</t>
  </si>
  <si>
    <t xml:space="preserve">     4.2.3. Determinación del ISR sobre base mensualizada</t>
  </si>
  <si>
    <t xml:space="preserve">     4.2.4. Determinación de la tasa de retención opcional</t>
  </si>
  <si>
    <t>4.3. Determinación de la retención de ISR mediante procedimiento de ley</t>
  </si>
  <si>
    <t>4.1. Datos</t>
  </si>
  <si>
    <t>4.4. Comparación entre mecanismos de retención de ISR</t>
  </si>
  <si>
    <t>4.5. Resumen</t>
  </si>
  <si>
    <t>2. DATOS PARA LA INDIVIDUALIZACIÓN DE LA PTU</t>
  </si>
  <si>
    <t>5.1. Datos</t>
  </si>
  <si>
    <t xml:space="preserve">     5.2.1. Determinación del ISR de la última percepción ordinaria</t>
  </si>
  <si>
    <t xml:space="preserve">     5.2.3. Determinación del ISR sobre base mensualizada</t>
  </si>
  <si>
    <t>5.3. Determinación de la retención de ISR mediante procedimiento de ley</t>
  </si>
  <si>
    <t xml:space="preserve">     5.2.4. Determinación de la tasa de retención opcional</t>
  </si>
  <si>
    <t>5.4. Comparación entre mecanismos de retención de ISR</t>
  </si>
  <si>
    <t>DATOS GENERALES</t>
  </si>
  <si>
    <t>No elegible</t>
  </si>
  <si>
    <t>Ver notas en el apartado 2.</t>
  </si>
  <si>
    <t xml:space="preserve">No elegible
</t>
  </si>
  <si>
    <t>Retención sobre sueldo ordinario</t>
  </si>
  <si>
    <t>Salario ordinario</t>
  </si>
  <si>
    <t>PTU por tabajador</t>
  </si>
  <si>
    <t>Base gravable en el mes</t>
  </si>
  <si>
    <t>[12] = [1 + 9]</t>
  </si>
  <si>
    <t>Total de retención opción 142 RISR</t>
  </si>
  <si>
    <t>Impuesto a cargo procedimiento de Ley</t>
  </si>
  <si>
    <t>[21]</t>
  </si>
  <si>
    <t>[22] = [21 - 20]</t>
  </si>
  <si>
    <t>[23]</t>
  </si>
  <si>
    <t>PTU exenta</t>
  </si>
  <si>
    <t>A</t>
  </si>
  <si>
    <t>B</t>
  </si>
  <si>
    <t>C</t>
  </si>
  <si>
    <t>D</t>
  </si>
  <si>
    <t>[20] = [19 + 9]</t>
  </si>
  <si>
    <t>[21] = [7 - 8]</t>
  </si>
  <si>
    <t xml:space="preserve">El monto de la participación de los trabajadores al servicio de personas cuyos ingresos deriven exclusivamente de su trabajo (i.e. patrón que percibe honorarios, patrón Sociedad Civil), y el de los que se dediquen al cuidado de bienes que produzcan rentas (i.e. arrendadores) o al cobro de créditos y sus intereses, no podrán exceder de un mes de salario. </t>
  </si>
  <si>
    <t>1. DETERMINACIÓN DE LA BASE DE PTU A REPARTIR</t>
  </si>
  <si>
    <t>[24] = [9+1-23]</t>
  </si>
  <si>
    <t>4.2.2. Determinación de la base gravable opcional</t>
  </si>
  <si>
    <t xml:space="preserve">     4.2.2. Determinación de la base gravable opcional</t>
  </si>
  <si>
    <t>5.2.2. Determinación de la base gravable opcional</t>
  </si>
  <si>
    <t xml:space="preserve">     5.2.2. Determinación de la base gravable opcional</t>
  </si>
  <si>
    <t>Para fines didácticos de este ejemplo, se considera que en el mes en que los trabajadores perciben la PTU, no perciben otra perstación distinta al salario diario.</t>
  </si>
  <si>
    <t>F</t>
  </si>
  <si>
    <t>H</t>
  </si>
  <si>
    <t>I</t>
  </si>
  <si>
    <t>1. DETERMINACIÓN DE LA BASE DE PTU</t>
  </si>
  <si>
    <t>[12] = [1 + 9 - 11]</t>
  </si>
  <si>
    <t>TABLA MENSUAL ARTÍCULO 96</t>
  </si>
  <si>
    <t>Cuota PTU (2)</t>
  </si>
  <si>
    <t>Salario máximo para empleados de confianza (2)</t>
  </si>
  <si>
    <t>Salario más alto de trabajador sindicalizado o de planta (3)</t>
  </si>
  <si>
    <t>E (3)</t>
  </si>
  <si>
    <t>G (4)</t>
  </si>
  <si>
    <t>UMA diaria</t>
  </si>
  <si>
    <t>PTU Exenta (15 UMA)</t>
  </si>
  <si>
    <t>4.2. Determinación del ISR mediante el procedimiento optativo del Artículo 174 del Reglamento de la Ley del ISR</t>
  </si>
  <si>
    <t>5.2. Determinación del ISR mediante el procedimiento optativo del Artículo 174 del Reglamento de la Ley del ISR</t>
  </si>
  <si>
    <t>PTU del ejercicio 2020</t>
  </si>
  <si>
    <t>PTU resultante en 2020 a repartir en 2021</t>
  </si>
  <si>
    <t>Ingresos acumulables</t>
  </si>
  <si>
    <t>(-) Ingrs Exentos No Ded
Art. 28, Frac. XXX, LISR</t>
  </si>
  <si>
    <t>(-) Deducciones autorizadas</t>
  </si>
  <si>
    <t>(-) Adquisición Activos</t>
  </si>
  <si>
    <t>(=) Renta gravable</t>
  </si>
  <si>
    <t>1er Bim</t>
  </si>
  <si>
    <t>2do Bim</t>
  </si>
  <si>
    <t>3er Bim</t>
  </si>
  <si>
    <t>4to Bim</t>
  </si>
  <si>
    <t>5to Bim</t>
  </si>
  <si>
    <t>6to Bim</t>
  </si>
  <si>
    <t>CONCEPTOS</t>
  </si>
  <si>
    <t>(X) % de reparto</t>
  </si>
  <si>
    <t>(=) PTU a repartir</t>
  </si>
  <si>
    <t>DETERMINACIÓN DE LA PTU A REPARTIR EN 2022</t>
  </si>
  <si>
    <t>POR LOS RESULTADOS OBTENIDOS EN EL EJERCICIO 2021</t>
  </si>
  <si>
    <t>Utilidad fiscal del ejercicio para efectos de PTU 2021</t>
  </si>
  <si>
    <t xml:space="preserve">PTU del ejercicio 2019, repartida en 2020 no reclamada </t>
  </si>
  <si>
    <t xml:space="preserve">PTU que en 2020 se hubiera determinado como pagada indebidamente </t>
  </si>
  <si>
    <t>4.2. DETERMINACIÓN DEL ISR MEDIANTE PROCEDIMIENTO OPTATIVO DEL ARTÍCULO 174 DEL REGLAMENTO DE LA LEY DEL ISR</t>
  </si>
  <si>
    <t>X</t>
  </si>
  <si>
    <t>Observación</t>
  </si>
  <si>
    <t>Para fines didácticos de este ejemplo, se considera que en el mes en que los trabajadores perciben la PTU, no perciben otra prestación distinta al salario diario.</t>
  </si>
  <si>
    <t>Administrador Único</t>
  </si>
  <si>
    <t>Total de retención opción 174
RISR</t>
  </si>
  <si>
    <t>A. DETERMINACION DE LA PTU PROMEDIO PAGADA EN LOS 3 ULTIMOS EJERCICIOS</t>
  </si>
  <si>
    <t>TRABAJADOR</t>
  </si>
  <si>
    <t>PTU 2020</t>
  </si>
  <si>
    <t>PTU 2019</t>
  </si>
  <si>
    <t>PROMEDIO</t>
  </si>
  <si>
    <t>Empleado B</t>
  </si>
  <si>
    <t>Empleado C</t>
  </si>
  <si>
    <t>Empleado D</t>
  </si>
  <si>
    <t>Empleado A</t>
  </si>
  <si>
    <t>Empleado E</t>
  </si>
  <si>
    <t>Empleado F</t>
  </si>
  <si>
    <t>Empleado G</t>
  </si>
  <si>
    <t>Empleado H</t>
  </si>
  <si>
    <t>Empleado I</t>
  </si>
  <si>
    <t>B. DETERMINACION DE 3 MESES DE SALARIO</t>
  </si>
  <si>
    <t>SALARIO MENSUAL</t>
  </si>
  <si>
    <t>3 MESES SALARIO</t>
  </si>
  <si>
    <t>PTU PROM 3 AÑOS</t>
  </si>
  <si>
    <t>MAS FAVORABLE</t>
  </si>
  <si>
    <t>OBSERVACION</t>
  </si>
  <si>
    <t>Monto real determinado</t>
  </si>
  <si>
    <t>C. DETERMINACION DEL MONTO MAS FAVORABLE</t>
  </si>
  <si>
    <t>D. DETALLE DE PTU A REPARTIR</t>
  </si>
  <si>
    <t>PTU A REP 2022</t>
  </si>
  <si>
    <t>No aplica</t>
  </si>
  <si>
    <t>No Aplica</t>
  </si>
  <si>
    <t>DETERMINACIÓN DE LA PTU A REPARTIR EN 2023</t>
  </si>
  <si>
    <t>POR LOS RESULTADOS OBTENIDOS EN EL EJERCICIO 2022</t>
  </si>
  <si>
    <t>LA MEXICANA, SA DE CV</t>
  </si>
  <si>
    <t>Utilidad fiscal del ejercicio para efectos de PTU 2022</t>
  </si>
  <si>
    <t xml:space="preserve">PTU del ejercicio 2021, repartida en 2022 no reclamada </t>
  </si>
  <si>
    <t xml:space="preserve">PTU que en 2022 se hubiera determinado como pagada indebidamente </t>
  </si>
  <si>
    <t>PTU del ejercicio 2022</t>
  </si>
  <si>
    <t>TARIFAS DE ISR MENSUAL 2023</t>
  </si>
  <si>
    <t>PTU 2021</t>
  </si>
  <si>
    <t>PTU A REPARTIR 2023</t>
  </si>
  <si>
    <t>PTU A PAGAR 2023</t>
  </si>
  <si>
    <t>REGLAMENTO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</si>
</sst>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0.0000"/>
    <numFmt numFmtId="165" formatCode="#,##0.0;[Red]\-#,##0.0"/>
    <numFmt numFmtId="166" formatCode="_(* #,##0.00_);_(* \(#,##0.00\);_(* &quot;-&quot;??_);_(@_)"/>
  </numFmts>
  <fonts count="31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5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5">
    <xf numFmtId="0" fontId="0" fillId="0" borderId="0" xfId="0"/>
    <xf numFmtId="0" fontId="9" fillId="0" borderId="0" xfId="0" applyFont="1"/>
    <xf numFmtId="0" fontId="10" fillId="0" borderId="0" xfId="0" applyFont="1"/>
    <xf numFmtId="0" fontId="10" fillId="3" borderId="1" xfId="0" applyFont="1" applyFill="1" applyBorder="1"/>
    <xf numFmtId="0" fontId="9" fillId="3" borderId="1" xfId="0" applyFont="1" applyFill="1" applyBorder="1"/>
    <xf numFmtId="0" fontId="11" fillId="0" borderId="0" xfId="0" applyFont="1"/>
    <xf numFmtId="6" fontId="12" fillId="0" borderId="0" xfId="0" applyNumberFormat="1" applyFont="1"/>
    <xf numFmtId="8" fontId="9" fillId="0" borderId="0" xfId="0" applyNumberFormat="1" applyFont="1"/>
    <xf numFmtId="3" fontId="12" fillId="0" borderId="0" xfId="0" applyNumberFormat="1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4" fontId="12" fillId="0" borderId="0" xfId="0" applyNumberFormat="1" applyFont="1"/>
    <xf numFmtId="4" fontId="9" fillId="0" borderId="0" xfId="0" applyNumberFormat="1" applyFont="1"/>
    <xf numFmtId="2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6" fontId="16" fillId="0" borderId="0" xfId="0" applyNumberFormat="1" applyFont="1"/>
    <xf numFmtId="6" fontId="9" fillId="0" borderId="0" xfId="0" applyNumberFormat="1" applyFont="1"/>
    <xf numFmtId="9" fontId="9" fillId="0" borderId="0" xfId="0" applyNumberFormat="1" applyFont="1"/>
    <xf numFmtId="0" fontId="9" fillId="0" borderId="2" xfId="0" applyFont="1" applyBorder="1"/>
    <xf numFmtId="3" fontId="9" fillId="0" borderId="0" xfId="0" applyNumberFormat="1" applyFont="1"/>
    <xf numFmtId="3" fontId="11" fillId="0" borderId="0" xfId="0" applyNumberFormat="1" applyFont="1"/>
    <xf numFmtId="0" fontId="17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9" fontId="11" fillId="0" borderId="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3" fontId="11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64" fontId="11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0" fillId="4" borderId="3" xfId="0" applyFont="1" applyFill="1" applyBorder="1"/>
    <xf numFmtId="0" fontId="9" fillId="4" borderId="3" xfId="0" applyFont="1" applyFill="1" applyBorder="1"/>
    <xf numFmtId="0" fontId="10" fillId="0" borderId="2" xfId="0" applyFont="1" applyBorder="1"/>
    <xf numFmtId="9" fontId="9" fillId="0" borderId="0" xfId="4" applyFont="1"/>
    <xf numFmtId="10" fontId="9" fillId="0" borderId="0" xfId="4" applyNumberFormat="1" applyFont="1"/>
    <xf numFmtId="6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6" fontId="16" fillId="0" borderId="0" xfId="0" applyNumberFormat="1" applyFont="1" applyAlignment="1">
      <alignment vertical="center"/>
    </xf>
    <xf numFmtId="6" fontId="9" fillId="0" borderId="0" xfId="0" applyNumberFormat="1" applyFont="1" applyAlignment="1">
      <alignment vertical="center"/>
    </xf>
    <xf numFmtId="9" fontId="9" fillId="0" borderId="0" xfId="0" applyNumberFormat="1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22" fillId="5" borderId="0" xfId="0" applyFont="1" applyFill="1"/>
    <xf numFmtId="0" fontId="21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 wrapText="1"/>
    </xf>
    <xf numFmtId="3" fontId="21" fillId="5" borderId="0" xfId="0" applyNumberFormat="1" applyFont="1" applyFill="1" applyAlignment="1">
      <alignment horizontal="center" vertical="center"/>
    </xf>
    <xf numFmtId="0" fontId="22" fillId="0" borderId="0" xfId="0" applyFont="1"/>
    <xf numFmtId="0" fontId="22" fillId="5" borderId="0" xfId="0" applyFont="1" applyFill="1" applyAlignment="1">
      <alignment horizontal="center" vertic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166" fontId="24" fillId="0" borderId="0" xfId="3" applyNumberFormat="1" applyFont="1" applyFill="1"/>
    <xf numFmtId="166" fontId="24" fillId="0" borderId="0" xfId="3" applyNumberFormat="1" applyFont="1" applyFill="1" applyAlignment="1">
      <alignment horizontal="right"/>
    </xf>
    <xf numFmtId="2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2" fontId="17" fillId="0" borderId="0" xfId="0" applyNumberFormat="1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>
      <alignment horizontal="center"/>
    </xf>
    <xf numFmtId="43" fontId="27" fillId="0" borderId="0" xfId="1" applyFont="1"/>
    <xf numFmtId="43" fontId="28" fillId="0" borderId="0" xfId="1" applyFont="1"/>
    <xf numFmtId="9" fontId="27" fillId="0" borderId="0" xfId="0" applyNumberFormat="1" applyFont="1"/>
    <xf numFmtId="43" fontId="28" fillId="0" borderId="0" xfId="0" applyNumberFormat="1" applyFont="1"/>
    <xf numFmtId="43" fontId="12" fillId="0" borderId="0" xfId="1" applyFont="1"/>
    <xf numFmtId="0" fontId="17" fillId="0" borderId="0" xfId="0" applyFont="1"/>
    <xf numFmtId="3" fontId="17" fillId="0" borderId="0" xfId="0" applyNumberFormat="1" applyFont="1"/>
    <xf numFmtId="3" fontId="10" fillId="0" borderId="0" xfId="0" applyNumberFormat="1" applyFont="1"/>
    <xf numFmtId="0" fontId="7" fillId="6" borderId="4" xfId="0" applyFont="1" applyFill="1" applyBorder="1"/>
    <xf numFmtId="0" fontId="7" fillId="6" borderId="5" xfId="0" applyFont="1" applyFill="1" applyBorder="1" applyAlignment="1">
      <alignment horizontal="center"/>
    </xf>
    <xf numFmtId="0" fontId="6" fillId="6" borderId="5" xfId="0" applyFont="1" applyFill="1" applyBorder="1"/>
    <xf numFmtId="0" fontId="8" fillId="7" borderId="1" xfId="0" applyFont="1" applyFill="1" applyBorder="1" applyAlignment="1">
      <alignment horizontal="center"/>
    </xf>
    <xf numFmtId="0" fontId="0" fillId="7" borderId="0" xfId="0" applyFill="1"/>
    <xf numFmtId="43" fontId="0" fillId="7" borderId="0" xfId="1" applyFont="1" applyFill="1"/>
    <xf numFmtId="43" fontId="0" fillId="8" borderId="0" xfId="0" applyNumberFormat="1" applyFill="1"/>
    <xf numFmtId="43" fontId="8" fillId="8" borderId="6" xfId="0" applyNumberFormat="1" applyFont="1" applyFill="1" applyBorder="1"/>
    <xf numFmtId="0" fontId="6" fillId="6" borderId="7" xfId="0" applyFont="1" applyFill="1" applyBorder="1"/>
    <xf numFmtId="0" fontId="8" fillId="7" borderId="1" xfId="0" applyFont="1" applyFill="1" applyBorder="1"/>
    <xf numFmtId="0" fontId="8" fillId="7" borderId="8" xfId="0" applyFont="1" applyFill="1" applyBorder="1" applyAlignment="1">
      <alignment horizontal="center"/>
    </xf>
    <xf numFmtId="43" fontId="0" fillId="7" borderId="0" xfId="0" applyNumberFormat="1" applyFill="1"/>
    <xf numFmtId="0" fontId="8" fillId="7" borderId="0" xfId="0" applyFont="1" applyFill="1" applyAlignment="1">
      <alignment horizontal="center"/>
    </xf>
    <xf numFmtId="0" fontId="8" fillId="7" borderId="10" xfId="0" applyFont="1" applyFill="1" applyBorder="1" applyAlignment="1">
      <alignment horizontal="center"/>
    </xf>
    <xf numFmtId="43" fontId="29" fillId="7" borderId="0" xfId="0" applyNumberFormat="1" applyFont="1" applyFill="1"/>
    <xf numFmtId="43" fontId="29" fillId="7" borderId="6" xfId="0" applyNumberFormat="1" applyFont="1" applyFill="1" applyBorder="1"/>
    <xf numFmtId="43" fontId="0" fillId="8" borderId="0" xfId="1" applyFont="1" applyFill="1"/>
    <xf numFmtId="0" fontId="12" fillId="8" borderId="0" xfId="0" applyFont="1" applyFill="1" applyAlignment="1">
      <alignment vertical="center"/>
    </xf>
    <xf numFmtId="3" fontId="11" fillId="8" borderId="0" xfId="0" applyNumberFormat="1" applyFont="1" applyFill="1" applyAlignment="1">
      <alignment vertical="center"/>
    </xf>
    <xf numFmtId="0" fontId="21" fillId="8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7" borderId="0" xfId="0" applyFill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25" fillId="9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9" fillId="7" borderId="0" xfId="0" applyFont="1" applyFill="1"/>
    <xf numFmtId="43" fontId="29" fillId="7" borderId="0" xfId="1" applyFont="1" applyFill="1"/>
    <xf numFmtId="43" fontId="29" fillId="8" borderId="0" xfId="0" applyNumberFormat="1" applyFont="1" applyFill="1"/>
    <xf numFmtId="0" fontId="13" fillId="10" borderId="0" xfId="0" applyFont="1" applyFill="1" applyAlignment="1">
      <alignment vertical="center"/>
    </xf>
    <xf numFmtId="4" fontId="13" fillId="10" borderId="0" xfId="0" applyNumberFormat="1" applyFont="1" applyFill="1" applyAlignment="1">
      <alignment vertical="center"/>
    </xf>
    <xf numFmtId="43" fontId="13" fillId="10" borderId="0" xfId="1" applyFont="1" applyFill="1"/>
    <xf numFmtId="0" fontId="13" fillId="10" borderId="0" xfId="0" applyFont="1" applyFill="1" applyAlignment="1">
      <alignment horizontal="center"/>
    </xf>
    <xf numFmtId="4" fontId="13" fillId="10" borderId="0" xfId="0" applyNumberFormat="1" applyFont="1" applyFill="1"/>
    <xf numFmtId="0" fontId="10" fillId="10" borderId="0" xfId="0" applyFont="1" applyFill="1"/>
    <xf numFmtId="4" fontId="10" fillId="10" borderId="0" xfId="0" applyNumberFormat="1" applyFont="1" applyFill="1"/>
    <xf numFmtId="0" fontId="30" fillId="10" borderId="0" xfId="0" applyFont="1" applyFill="1"/>
    <xf numFmtId="0" fontId="17" fillId="8" borderId="0" xfId="0" applyFont="1" applyFill="1"/>
    <xf numFmtId="0" fontId="17" fillId="11" borderId="0" xfId="0" applyFont="1" applyFill="1"/>
    <xf numFmtId="3" fontId="9" fillId="11" borderId="0" xfId="0" applyNumberFormat="1" applyFont="1" applyFill="1"/>
    <xf numFmtId="3" fontId="9" fillId="8" borderId="0" xfId="0" applyNumberFormat="1" applyFont="1" applyFill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7" fillId="8" borderId="0" xfId="0" applyNumberFormat="1" applyFont="1" applyFill="1" applyAlignment="1">
      <alignment vertical="center"/>
    </xf>
    <xf numFmtId="3" fontId="9" fillId="11" borderId="0" xfId="0" applyNumberFormat="1" applyFont="1" applyFill="1" applyAlignment="1">
      <alignment vertical="center"/>
    </xf>
  </cellXfs>
  <cellStyles count="6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  <cellStyle name="Porcentaje" xfId="4" builtinId="5"/>
    <cellStyle name="Porcentual 2" xfId="5" xr:uid="{00000000-0005-0000-0000-000005000000}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6"/>
  <sheetViews>
    <sheetView topLeftCell="A38" zoomScale="120" zoomScaleNormal="120" workbookViewId="0">
      <selection activeCell="A55" sqref="A55"/>
    </sheetView>
  </sheetViews>
  <sheetFormatPr baseColWidth="10" defaultRowHeight="11.25" x14ac:dyDescent="0.2"/>
  <cols>
    <col min="1" max="1" width="16.6640625" style="86" customWidth="1"/>
    <col min="2" max="2" width="21.33203125" style="86" customWidth="1"/>
    <col min="3" max="3" width="19.1640625" style="86" bestFit="1" customWidth="1"/>
    <col min="4" max="4" width="14.33203125" style="86" bestFit="1" customWidth="1"/>
    <col min="5" max="5" width="17" style="86" bestFit="1" customWidth="1"/>
    <col min="6" max="6" width="23.1640625" style="86" bestFit="1" customWidth="1"/>
    <col min="7" max="7" width="20.5" style="86" bestFit="1" customWidth="1"/>
    <col min="8" max="9" width="21.83203125" style="86" customWidth="1"/>
    <col min="10" max="16384" width="12" style="86"/>
  </cols>
  <sheetData>
    <row r="2" spans="1:7" ht="12" thickBot="1" x14ac:dyDescent="0.25"/>
    <row r="3" spans="1:7" ht="15.75" thickBot="1" x14ac:dyDescent="0.3">
      <c r="A3" s="82" t="s">
        <v>229</v>
      </c>
      <c r="B3" s="83"/>
      <c r="C3" s="83"/>
      <c r="D3" s="83"/>
      <c r="E3" s="84"/>
      <c r="F3" s="82"/>
      <c r="G3" s="82"/>
    </row>
    <row r="4" spans="1:7" ht="15.75" thickBot="1" x14ac:dyDescent="0.3">
      <c r="A4" s="85" t="s">
        <v>230</v>
      </c>
      <c r="B4" s="85" t="s">
        <v>263</v>
      </c>
      <c r="C4" s="85" t="s">
        <v>231</v>
      </c>
      <c r="D4" s="85" t="s">
        <v>232</v>
      </c>
      <c r="E4" s="85" t="s">
        <v>233</v>
      </c>
    </row>
    <row r="5" spans="1:7" x14ac:dyDescent="0.2">
      <c r="A5" s="86" t="s">
        <v>237</v>
      </c>
      <c r="B5" s="87">
        <v>0</v>
      </c>
      <c r="C5" s="87">
        <v>0</v>
      </c>
      <c r="D5" s="87">
        <v>0</v>
      </c>
      <c r="E5" s="88">
        <f>IFERROR(AVERAGE(B5:D5),0)</f>
        <v>0</v>
      </c>
    </row>
    <row r="6" spans="1:7" x14ac:dyDescent="0.2">
      <c r="A6" s="86" t="s">
        <v>234</v>
      </c>
      <c r="B6" s="87">
        <v>36000</v>
      </c>
      <c r="C6" s="87">
        <v>22000</v>
      </c>
      <c r="D6" s="87">
        <v>32000</v>
      </c>
      <c r="E6" s="88">
        <f t="shared" ref="E6:E13" si="0">IFERROR(AVERAGE(B6:D6),0)</f>
        <v>30000</v>
      </c>
    </row>
    <row r="7" spans="1:7" x14ac:dyDescent="0.2">
      <c r="A7" s="86" t="s">
        <v>235</v>
      </c>
      <c r="B7" s="87">
        <v>32000</v>
      </c>
      <c r="C7" s="87">
        <v>24700</v>
      </c>
      <c r="D7" s="87">
        <v>22000</v>
      </c>
      <c r="E7" s="88">
        <f t="shared" si="0"/>
        <v>26233.333333333332</v>
      </c>
    </row>
    <row r="8" spans="1:7" x14ac:dyDescent="0.2">
      <c r="A8" s="86" t="s">
        <v>236</v>
      </c>
      <c r="B8" s="87">
        <v>28200</v>
      </c>
      <c r="C8" s="87">
        <v>15000</v>
      </c>
      <c r="D8" s="87">
        <v>10000</v>
      </c>
      <c r="E8" s="88">
        <f t="shared" si="0"/>
        <v>17733.333333333332</v>
      </c>
    </row>
    <row r="9" spans="1:7" x14ac:dyDescent="0.2">
      <c r="A9" s="86" t="s">
        <v>238</v>
      </c>
      <c r="B9" s="87">
        <v>30500</v>
      </c>
      <c r="C9" s="87">
        <v>31700</v>
      </c>
      <c r="D9" s="87">
        <v>29700</v>
      </c>
      <c r="E9" s="88">
        <f t="shared" si="0"/>
        <v>30633.333333333332</v>
      </c>
    </row>
    <row r="10" spans="1:7" x14ac:dyDescent="0.2">
      <c r="A10" s="116" t="s">
        <v>239</v>
      </c>
      <c r="B10" s="117">
        <v>18700</v>
      </c>
      <c r="C10" s="117">
        <v>0</v>
      </c>
      <c r="D10" s="117">
        <v>0</v>
      </c>
      <c r="E10" s="118">
        <f t="shared" si="0"/>
        <v>6233.333333333333</v>
      </c>
    </row>
    <row r="11" spans="1:7" x14ac:dyDescent="0.2">
      <c r="A11" s="86" t="s">
        <v>240</v>
      </c>
      <c r="B11" s="87">
        <v>6780</v>
      </c>
      <c r="C11" s="87">
        <v>7150</v>
      </c>
      <c r="D11" s="87">
        <v>4190</v>
      </c>
      <c r="E11" s="88">
        <f t="shared" si="0"/>
        <v>6040</v>
      </c>
    </row>
    <row r="12" spans="1:7" x14ac:dyDescent="0.2">
      <c r="A12" s="86" t="s">
        <v>241</v>
      </c>
      <c r="B12" s="87">
        <v>19700</v>
      </c>
      <c r="C12" s="87">
        <v>18400</v>
      </c>
      <c r="D12" s="87">
        <v>15700</v>
      </c>
      <c r="E12" s="88">
        <f t="shared" si="0"/>
        <v>17933.333333333332</v>
      </c>
    </row>
    <row r="13" spans="1:7" x14ac:dyDescent="0.2">
      <c r="A13" s="86" t="s">
        <v>242</v>
      </c>
      <c r="B13" s="87">
        <v>9050</v>
      </c>
      <c r="C13" s="87">
        <v>8400</v>
      </c>
      <c r="D13" s="87">
        <v>7450</v>
      </c>
      <c r="E13" s="88">
        <f t="shared" si="0"/>
        <v>8300</v>
      </c>
    </row>
    <row r="14" spans="1:7" ht="15.75" thickBot="1" x14ac:dyDescent="0.3">
      <c r="B14" s="89">
        <f>SUM(B5:B13)</f>
        <v>180930</v>
      </c>
      <c r="C14" s="89">
        <f t="shared" ref="C14:E14" si="1">SUM(C5:C13)</f>
        <v>127350</v>
      </c>
      <c r="D14" s="89">
        <f t="shared" si="1"/>
        <v>121040</v>
      </c>
      <c r="E14" s="89">
        <f t="shared" si="1"/>
        <v>143106.66666666666</v>
      </c>
    </row>
    <row r="15" spans="1:7" ht="12" thickTop="1" x14ac:dyDescent="0.2"/>
    <row r="16" spans="1:7" ht="12" thickBot="1" x14ac:dyDescent="0.25"/>
    <row r="17" spans="1:9" ht="15.75" thickBot="1" x14ac:dyDescent="0.3">
      <c r="A17" s="82" t="s">
        <v>243</v>
      </c>
      <c r="B17" s="84"/>
      <c r="C17" s="84"/>
      <c r="D17" s="84"/>
    </row>
    <row r="18" spans="1:9" ht="15.75" thickBot="1" x14ac:dyDescent="0.3">
      <c r="A18" s="85" t="s">
        <v>230</v>
      </c>
      <c r="B18" s="85" t="s">
        <v>244</v>
      </c>
      <c r="C18" s="85" t="s">
        <v>245</v>
      </c>
    </row>
    <row r="19" spans="1:9" x14ac:dyDescent="0.2">
      <c r="A19" s="86" t="s">
        <v>237</v>
      </c>
      <c r="B19" s="87">
        <v>0</v>
      </c>
      <c r="C19" s="88">
        <f>B19*3</f>
        <v>0</v>
      </c>
    </row>
    <row r="20" spans="1:9" x14ac:dyDescent="0.2">
      <c r="A20" s="86" t="s">
        <v>234</v>
      </c>
      <c r="B20" s="87">
        <v>42000</v>
      </c>
      <c r="C20" s="88">
        <f t="shared" ref="C20:C27" si="2">B20*3</f>
        <v>126000</v>
      </c>
    </row>
    <row r="21" spans="1:9" x14ac:dyDescent="0.2">
      <c r="A21" s="86" t="s">
        <v>235</v>
      </c>
      <c r="B21" s="87">
        <v>11700</v>
      </c>
      <c r="C21" s="88">
        <f t="shared" si="2"/>
        <v>35100</v>
      </c>
    </row>
    <row r="22" spans="1:9" x14ac:dyDescent="0.2">
      <c r="A22" s="86" t="s">
        <v>236</v>
      </c>
      <c r="B22" s="87">
        <v>33000</v>
      </c>
      <c r="C22" s="88">
        <f t="shared" si="2"/>
        <v>99000</v>
      </c>
    </row>
    <row r="23" spans="1:9" x14ac:dyDescent="0.2">
      <c r="A23" s="86" t="s">
        <v>238</v>
      </c>
      <c r="B23" s="87">
        <v>24300</v>
      </c>
      <c r="C23" s="88">
        <f t="shared" si="2"/>
        <v>72900</v>
      </c>
    </row>
    <row r="24" spans="1:9" x14ac:dyDescent="0.2">
      <c r="A24" s="86" t="s">
        <v>239</v>
      </c>
      <c r="B24" s="87">
        <v>19500</v>
      </c>
      <c r="C24" s="88">
        <f t="shared" si="2"/>
        <v>58500</v>
      </c>
    </row>
    <row r="25" spans="1:9" x14ac:dyDescent="0.2">
      <c r="A25" s="86" t="s">
        <v>240</v>
      </c>
      <c r="B25" s="87">
        <v>14250</v>
      </c>
      <c r="C25" s="88">
        <f t="shared" si="2"/>
        <v>42750</v>
      </c>
    </row>
    <row r="26" spans="1:9" x14ac:dyDescent="0.2">
      <c r="A26" s="86" t="s">
        <v>241</v>
      </c>
      <c r="B26" s="87">
        <v>9000</v>
      </c>
      <c r="C26" s="88">
        <f t="shared" si="2"/>
        <v>27000</v>
      </c>
    </row>
    <row r="27" spans="1:9" x14ac:dyDescent="0.2">
      <c r="A27" s="86" t="s">
        <v>242</v>
      </c>
      <c r="B27" s="87">
        <v>7500</v>
      </c>
      <c r="C27" s="88">
        <f t="shared" si="2"/>
        <v>22500</v>
      </c>
    </row>
    <row r="29" spans="1:9" ht="12" thickBot="1" x14ac:dyDescent="0.25"/>
    <row r="30" spans="1:9" ht="15.75" thickBot="1" x14ac:dyDescent="0.3">
      <c r="A30" s="82" t="s">
        <v>250</v>
      </c>
      <c r="B30" s="84"/>
      <c r="C30" s="84"/>
      <c r="D30" s="84"/>
      <c r="E30" s="84"/>
      <c r="F30" s="84"/>
      <c r="G30" s="84"/>
      <c r="H30" s="84"/>
      <c r="I30" s="90"/>
    </row>
    <row r="31" spans="1:9" ht="15.75" thickBot="1" x14ac:dyDescent="0.3">
      <c r="A31" s="91" t="s">
        <v>230</v>
      </c>
      <c r="B31" s="91" t="s">
        <v>246</v>
      </c>
      <c r="C31" s="91" t="s">
        <v>245</v>
      </c>
      <c r="D31" s="104" t="s">
        <v>247</v>
      </c>
      <c r="E31" s="105"/>
      <c r="F31" s="92" t="s">
        <v>264</v>
      </c>
      <c r="G31" s="85" t="s">
        <v>265</v>
      </c>
      <c r="H31" s="106" t="s">
        <v>248</v>
      </c>
      <c r="I31" s="107"/>
    </row>
    <row r="32" spans="1:9" ht="15" x14ac:dyDescent="0.25">
      <c r="A32" s="86" t="s">
        <v>237</v>
      </c>
      <c r="B32" s="93">
        <f>E5</f>
        <v>0</v>
      </c>
      <c r="C32" s="93">
        <f>C19</f>
        <v>0</v>
      </c>
      <c r="D32" s="87">
        <f>IF(C32&gt;B32,C32,B32)</f>
        <v>0</v>
      </c>
      <c r="E32" s="94" t="s">
        <v>253</v>
      </c>
      <c r="F32" s="87">
        <f>B46</f>
        <v>0</v>
      </c>
      <c r="G32" s="93">
        <v>0</v>
      </c>
      <c r="H32" s="103" t="s">
        <v>254</v>
      </c>
      <c r="I32" s="103"/>
    </row>
    <row r="33" spans="1:9" ht="15" x14ac:dyDescent="0.25">
      <c r="A33" s="86" t="s">
        <v>234</v>
      </c>
      <c r="B33" s="93">
        <f t="shared" ref="B33:B40" si="3">E6</f>
        <v>30000</v>
      </c>
      <c r="C33" s="93">
        <f t="shared" ref="C33:C40" si="4">C20</f>
        <v>126000</v>
      </c>
      <c r="D33" s="98">
        <f t="shared" ref="D33:D40" si="5">IF(C33&gt;B33,C33,B33)</f>
        <v>126000</v>
      </c>
      <c r="E33" s="94" t="str">
        <f t="shared" ref="E33:E40" si="6">IF(B33&gt;C33,"promedio 3 años PTU","3 meses salario")</f>
        <v>3 meses salario</v>
      </c>
      <c r="F33" s="87">
        <f t="shared" ref="F33:F40" si="7">B47</f>
        <v>55849.936643108922</v>
      </c>
      <c r="G33" s="93">
        <f t="shared" ref="G33:G40" si="8">F33</f>
        <v>55849.936643108922</v>
      </c>
      <c r="H33" s="103" t="s">
        <v>249</v>
      </c>
      <c r="I33" s="103"/>
    </row>
    <row r="34" spans="1:9" ht="15" x14ac:dyDescent="0.25">
      <c r="A34" s="86" t="s">
        <v>235</v>
      </c>
      <c r="B34" s="93">
        <f t="shared" si="3"/>
        <v>26233.333333333332</v>
      </c>
      <c r="C34" s="93">
        <f t="shared" si="4"/>
        <v>35100</v>
      </c>
      <c r="D34" s="98">
        <f t="shared" si="5"/>
        <v>35100</v>
      </c>
      <c r="E34" s="94" t="str">
        <f t="shared" si="6"/>
        <v>3 meses salario</v>
      </c>
      <c r="F34" s="87">
        <f t="shared" si="7"/>
        <v>31398.756091327701</v>
      </c>
      <c r="G34" s="93">
        <f t="shared" si="8"/>
        <v>31398.756091327701</v>
      </c>
      <c r="H34" s="103" t="s">
        <v>249</v>
      </c>
      <c r="I34" s="103"/>
    </row>
    <row r="35" spans="1:9" ht="15" x14ac:dyDescent="0.25">
      <c r="A35" s="86" t="s">
        <v>236</v>
      </c>
      <c r="B35" s="93">
        <f t="shared" si="3"/>
        <v>17733.333333333332</v>
      </c>
      <c r="C35" s="93">
        <f t="shared" si="4"/>
        <v>99000</v>
      </c>
      <c r="D35" s="98">
        <f t="shared" si="5"/>
        <v>99000</v>
      </c>
      <c r="E35" s="94" t="str">
        <f t="shared" si="6"/>
        <v>3 meses salario</v>
      </c>
      <c r="F35" s="87">
        <f t="shared" si="7"/>
        <v>33815.98903596458</v>
      </c>
      <c r="G35" s="93">
        <f t="shared" si="8"/>
        <v>33815.98903596458</v>
      </c>
      <c r="H35" s="103" t="s">
        <v>249</v>
      </c>
      <c r="I35" s="103"/>
    </row>
    <row r="36" spans="1:9" ht="15" x14ac:dyDescent="0.25">
      <c r="A36" s="86" t="s">
        <v>238</v>
      </c>
      <c r="B36" s="93">
        <f t="shared" si="3"/>
        <v>30633.333333333332</v>
      </c>
      <c r="C36" s="93">
        <f t="shared" si="4"/>
        <v>72900</v>
      </c>
      <c r="D36" s="98">
        <f t="shared" si="5"/>
        <v>72900</v>
      </c>
      <c r="E36" s="94" t="str">
        <f t="shared" si="6"/>
        <v>3 meses salario</v>
      </c>
      <c r="F36" s="87">
        <f t="shared" si="7"/>
        <v>25915.68061497256</v>
      </c>
      <c r="G36" s="93">
        <f t="shared" si="8"/>
        <v>25915.68061497256</v>
      </c>
      <c r="H36" s="103" t="s">
        <v>249</v>
      </c>
      <c r="I36" s="103"/>
    </row>
    <row r="37" spans="1:9" ht="15" x14ac:dyDescent="0.25">
      <c r="A37" s="86" t="s">
        <v>239</v>
      </c>
      <c r="B37" s="93">
        <f t="shared" si="3"/>
        <v>6233.333333333333</v>
      </c>
      <c r="C37" s="93">
        <f t="shared" si="4"/>
        <v>58500</v>
      </c>
      <c r="D37" s="98">
        <f t="shared" si="5"/>
        <v>58500</v>
      </c>
      <c r="E37" s="94" t="str">
        <f t="shared" si="6"/>
        <v>3 meses salario</v>
      </c>
      <c r="F37" s="87">
        <f t="shared" si="7"/>
        <v>47775.803230201833</v>
      </c>
      <c r="G37" s="93">
        <f t="shared" si="8"/>
        <v>47775.803230201833</v>
      </c>
      <c r="H37" s="103" t="s">
        <v>249</v>
      </c>
      <c r="I37" s="103"/>
    </row>
    <row r="38" spans="1:9" ht="15" x14ac:dyDescent="0.25">
      <c r="A38" s="86" t="s">
        <v>240</v>
      </c>
      <c r="B38" s="93">
        <f t="shared" si="3"/>
        <v>6040</v>
      </c>
      <c r="C38" s="93">
        <f t="shared" si="4"/>
        <v>42750</v>
      </c>
      <c r="D38" s="98">
        <f t="shared" si="5"/>
        <v>42750</v>
      </c>
      <c r="E38" s="94" t="str">
        <f t="shared" si="6"/>
        <v>3 meses salario</v>
      </c>
      <c r="F38" s="87">
        <f t="shared" si="7"/>
        <v>5537.1814386864735</v>
      </c>
      <c r="G38" s="93">
        <f t="shared" si="8"/>
        <v>5537.1814386864735</v>
      </c>
      <c r="H38" s="103" t="s">
        <v>249</v>
      </c>
      <c r="I38" s="103"/>
    </row>
    <row r="39" spans="1:9" ht="15" x14ac:dyDescent="0.25">
      <c r="A39" s="86" t="s">
        <v>241</v>
      </c>
      <c r="B39" s="93">
        <f t="shared" si="3"/>
        <v>17933.333333333332</v>
      </c>
      <c r="C39" s="93">
        <f t="shared" si="4"/>
        <v>27000</v>
      </c>
      <c r="D39" s="98">
        <f t="shared" si="5"/>
        <v>27000</v>
      </c>
      <c r="E39" s="94" t="str">
        <f t="shared" si="6"/>
        <v>3 meses salario</v>
      </c>
      <c r="F39" s="87">
        <f t="shared" si="7"/>
        <v>18166.925667575964</v>
      </c>
      <c r="G39" s="93">
        <f t="shared" si="8"/>
        <v>18166.925667575964</v>
      </c>
      <c r="H39" s="103" t="s">
        <v>249</v>
      </c>
      <c r="I39" s="103"/>
    </row>
    <row r="40" spans="1:9" ht="15" x14ac:dyDescent="0.25">
      <c r="A40" s="86" t="s">
        <v>242</v>
      </c>
      <c r="B40" s="93">
        <f t="shared" si="3"/>
        <v>8300</v>
      </c>
      <c r="C40" s="93">
        <f t="shared" si="4"/>
        <v>22500</v>
      </c>
      <c r="D40" s="98">
        <f t="shared" si="5"/>
        <v>22500</v>
      </c>
      <c r="E40" s="94" t="str">
        <f t="shared" si="6"/>
        <v>3 meses salario</v>
      </c>
      <c r="F40" s="87">
        <f t="shared" si="7"/>
        <v>8010.3272781619871</v>
      </c>
      <c r="G40" s="93">
        <f t="shared" si="8"/>
        <v>8010.3272781619871</v>
      </c>
      <c r="H40" s="103" t="s">
        <v>249</v>
      </c>
      <c r="I40" s="103"/>
    </row>
    <row r="41" spans="1:9" ht="12" thickBot="1" x14ac:dyDescent="0.25">
      <c r="C41" s="97">
        <f>SUM(C32:C40)</f>
        <v>483750</v>
      </c>
      <c r="D41" s="97">
        <f>SUM(D32:D40)</f>
        <v>483750</v>
      </c>
      <c r="F41" s="97">
        <f>SUM(F32:F40)</f>
        <v>226470.6</v>
      </c>
      <c r="G41" s="97">
        <f>SUM(G32:G40)</f>
        <v>226470.6</v>
      </c>
    </row>
    <row r="42" spans="1:9" ht="12" thickTop="1" x14ac:dyDescent="0.2">
      <c r="C42" s="96"/>
      <c r="F42" s="96"/>
      <c r="G42" s="96"/>
    </row>
    <row r="43" spans="1:9" ht="12" thickBot="1" x14ac:dyDescent="0.25"/>
    <row r="44" spans="1:9" ht="15.75" thickBot="1" x14ac:dyDescent="0.3">
      <c r="A44" s="82" t="s">
        <v>251</v>
      </c>
      <c r="B44" s="82"/>
      <c r="C44" s="102"/>
    </row>
    <row r="45" spans="1:9" ht="15.75" thickBot="1" x14ac:dyDescent="0.3">
      <c r="A45" s="95" t="s">
        <v>230</v>
      </c>
      <c r="B45" s="95" t="s">
        <v>252</v>
      </c>
    </row>
    <row r="46" spans="1:9" x14ac:dyDescent="0.2">
      <c r="A46" s="86" t="s">
        <v>237</v>
      </c>
      <c r="B46" s="87">
        <f>'Caso 1'!C116</f>
        <v>0</v>
      </c>
    </row>
    <row r="47" spans="1:9" x14ac:dyDescent="0.2">
      <c r="A47" s="86" t="s">
        <v>234</v>
      </c>
      <c r="B47" s="87">
        <f>'Caso 1'!C117</f>
        <v>55849.936643108922</v>
      </c>
    </row>
    <row r="48" spans="1:9" x14ac:dyDescent="0.2">
      <c r="A48" s="86" t="s">
        <v>235</v>
      </c>
      <c r="B48" s="87">
        <f>'Caso 1'!C118</f>
        <v>31398.756091327701</v>
      </c>
    </row>
    <row r="49" spans="1:2" x14ac:dyDescent="0.2">
      <c r="A49" s="86" t="s">
        <v>236</v>
      </c>
      <c r="B49" s="87">
        <f>'Caso 1'!C119</f>
        <v>33815.98903596458</v>
      </c>
    </row>
    <row r="50" spans="1:2" x14ac:dyDescent="0.2">
      <c r="A50" s="86" t="s">
        <v>238</v>
      </c>
      <c r="B50" s="87">
        <f>'Caso 1'!C120</f>
        <v>25915.68061497256</v>
      </c>
    </row>
    <row r="51" spans="1:2" x14ac:dyDescent="0.2">
      <c r="A51" s="86" t="s">
        <v>239</v>
      </c>
      <c r="B51" s="87">
        <f>'Caso 1'!C121</f>
        <v>47775.803230201833</v>
      </c>
    </row>
    <row r="52" spans="1:2" x14ac:dyDescent="0.2">
      <c r="A52" s="86" t="s">
        <v>240</v>
      </c>
      <c r="B52" s="87">
        <f>'Caso 1'!C122</f>
        <v>5537.1814386864735</v>
      </c>
    </row>
    <row r="53" spans="1:2" x14ac:dyDescent="0.2">
      <c r="A53" s="86" t="s">
        <v>241</v>
      </c>
      <c r="B53" s="87">
        <f>'Caso 1'!C123</f>
        <v>18166.925667575964</v>
      </c>
    </row>
    <row r="54" spans="1:2" x14ac:dyDescent="0.2">
      <c r="A54" s="86" t="s">
        <v>242</v>
      </c>
      <c r="B54" s="87">
        <f>'Caso 1'!C124</f>
        <v>8010.3272781619871</v>
      </c>
    </row>
    <row r="55" spans="1:2" ht="12" thickBot="1" x14ac:dyDescent="0.25">
      <c r="B55" s="97">
        <f>SUM(B46:B54)</f>
        <v>226470.6</v>
      </c>
    </row>
    <row r="56" spans="1:2" ht="12" thickTop="1" x14ac:dyDescent="0.2"/>
  </sheetData>
  <mergeCells count="11">
    <mergeCell ref="H35:I35"/>
    <mergeCell ref="D31:E31"/>
    <mergeCell ref="H31:I31"/>
    <mergeCell ref="H32:I32"/>
    <mergeCell ref="H33:I33"/>
    <mergeCell ref="H34:I34"/>
    <mergeCell ref="H36:I36"/>
    <mergeCell ref="H37:I37"/>
    <mergeCell ref="H38:I38"/>
    <mergeCell ref="H39:I39"/>
    <mergeCell ref="H40:I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1"/>
  <sheetViews>
    <sheetView topLeftCell="A227" workbookViewId="0">
      <selection activeCell="F232" sqref="F232"/>
    </sheetView>
  </sheetViews>
  <sheetFormatPr baseColWidth="10" defaultRowHeight="15.75" x14ac:dyDescent="0.25"/>
  <cols>
    <col min="1" max="1" width="4.33203125" style="1" customWidth="1"/>
    <col min="2" max="2" width="53.6640625" style="1" customWidth="1"/>
    <col min="3" max="3" width="13.6640625" style="1" customWidth="1"/>
    <col min="4" max="4" width="16.5" style="1" customWidth="1"/>
    <col min="5" max="5" width="16.1640625" style="1" customWidth="1"/>
    <col min="6" max="6" width="18.33203125" style="1" customWidth="1"/>
    <col min="7" max="7" width="17.6640625" style="1" customWidth="1"/>
    <col min="8" max="8" width="13.33203125" style="1" customWidth="1"/>
    <col min="9" max="9" width="14.6640625" style="1" customWidth="1"/>
    <col min="10" max="10" width="12.83203125" style="1" customWidth="1"/>
    <col min="11" max="11" width="15.6640625" style="1" customWidth="1"/>
    <col min="12" max="16384" width="12" style="1"/>
  </cols>
  <sheetData>
    <row r="1" spans="1:9" ht="18.75" x14ac:dyDescent="0.3">
      <c r="A1" s="108" t="s">
        <v>257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5">
      <c r="A2" s="109" t="s">
        <v>255</v>
      </c>
      <c r="B2" s="109"/>
      <c r="C2" s="109"/>
      <c r="D2" s="109"/>
      <c r="E2" s="109"/>
      <c r="F2" s="109"/>
      <c r="G2" s="109"/>
      <c r="H2" s="109"/>
      <c r="I2" s="109"/>
    </row>
    <row r="3" spans="1:9" x14ac:dyDescent="0.25">
      <c r="A3" s="109" t="s">
        <v>256</v>
      </c>
      <c r="B3" s="109"/>
      <c r="C3" s="109"/>
      <c r="D3" s="109"/>
      <c r="E3" s="109"/>
      <c r="F3" s="109"/>
      <c r="G3" s="109"/>
      <c r="H3" s="109"/>
      <c r="I3" s="109"/>
    </row>
    <row r="5" spans="1:9" x14ac:dyDescent="0.25">
      <c r="B5" s="2" t="s">
        <v>143</v>
      </c>
    </row>
    <row r="7" spans="1:9" x14ac:dyDescent="0.25">
      <c r="A7" s="2" t="s">
        <v>180</v>
      </c>
      <c r="B7" s="2"/>
    </row>
    <row r="8" spans="1:9" x14ac:dyDescent="0.25">
      <c r="A8" s="2" t="s">
        <v>151</v>
      </c>
      <c r="B8" s="2"/>
    </row>
    <row r="9" spans="1:9" x14ac:dyDescent="0.25">
      <c r="A9" s="2" t="s">
        <v>48</v>
      </c>
      <c r="B9" s="2"/>
    </row>
    <row r="10" spans="1:9" x14ac:dyDescent="0.25">
      <c r="A10" s="2" t="s">
        <v>95</v>
      </c>
      <c r="B10" s="2"/>
    </row>
    <row r="11" spans="1:9" x14ac:dyDescent="0.25">
      <c r="B11" s="1" t="s">
        <v>148</v>
      </c>
    </row>
    <row r="12" spans="1:9" x14ac:dyDescent="0.25">
      <c r="B12" s="1" t="s">
        <v>200</v>
      </c>
    </row>
    <row r="13" spans="1:9" x14ac:dyDescent="0.25">
      <c r="B13" s="1" t="s">
        <v>144</v>
      </c>
    </row>
    <row r="14" spans="1:9" x14ac:dyDescent="0.25">
      <c r="B14" s="1" t="s">
        <v>183</v>
      </c>
    </row>
    <row r="15" spans="1:9" x14ac:dyDescent="0.25">
      <c r="B15" s="1" t="s">
        <v>145</v>
      </c>
    </row>
    <row r="16" spans="1:9" x14ac:dyDescent="0.25">
      <c r="B16" s="1" t="s">
        <v>146</v>
      </c>
    </row>
    <row r="17" spans="1:10" x14ac:dyDescent="0.25">
      <c r="B17" s="1" t="s">
        <v>147</v>
      </c>
    </row>
    <row r="18" spans="1:10" x14ac:dyDescent="0.25">
      <c r="B18" s="1" t="s">
        <v>149</v>
      </c>
    </row>
    <row r="19" spans="1:10" x14ac:dyDescent="0.25">
      <c r="B19" s="1" t="s">
        <v>150</v>
      </c>
    </row>
    <row r="22" spans="1:10" ht="16.5" thickBot="1" x14ac:dyDescent="0.3">
      <c r="A22" s="3" t="s">
        <v>158</v>
      </c>
      <c r="B22" s="4"/>
      <c r="C22" s="4"/>
      <c r="D22" s="4"/>
      <c r="E22" s="4"/>
      <c r="F22" s="4"/>
      <c r="G22" s="4"/>
      <c r="H22" s="4"/>
      <c r="I22" s="4"/>
    </row>
    <row r="25" spans="1:10" x14ac:dyDescent="0.25">
      <c r="B25" s="5" t="s">
        <v>258</v>
      </c>
      <c r="E25" s="6">
        <v>2195356</v>
      </c>
      <c r="F25" s="7"/>
      <c r="G25" s="7"/>
    </row>
    <row r="26" spans="1:10" x14ac:dyDescent="0.25">
      <c r="B26" s="5" t="s">
        <v>259</v>
      </c>
      <c r="E26" s="8">
        <v>16589</v>
      </c>
      <c r="F26" s="7"/>
      <c r="G26" s="7"/>
    </row>
    <row r="27" spans="1:10" x14ac:dyDescent="0.25">
      <c r="B27" s="5" t="s">
        <v>260</v>
      </c>
      <c r="E27" s="8">
        <v>9654</v>
      </c>
      <c r="F27" s="7"/>
      <c r="G27" s="7"/>
    </row>
    <row r="28" spans="1:10" x14ac:dyDescent="0.25">
      <c r="B28" s="5"/>
      <c r="E28" s="8"/>
    </row>
    <row r="29" spans="1:10" x14ac:dyDescent="0.25">
      <c r="B29" s="9" t="s">
        <v>17</v>
      </c>
      <c r="D29" s="10"/>
      <c r="E29" s="16">
        <v>810</v>
      </c>
    </row>
    <row r="30" spans="1:10" x14ac:dyDescent="0.25">
      <c r="B30" s="9"/>
      <c r="D30" s="10"/>
      <c r="E30" s="11"/>
    </row>
    <row r="31" spans="1:10" ht="45" x14ac:dyDescent="0.25">
      <c r="A31" s="59"/>
      <c r="B31" s="51" t="s">
        <v>49</v>
      </c>
      <c r="C31" s="51" t="s">
        <v>56</v>
      </c>
      <c r="D31" s="51" t="s">
        <v>57</v>
      </c>
      <c r="E31" s="51" t="s">
        <v>81</v>
      </c>
      <c r="F31" s="51" t="s">
        <v>61</v>
      </c>
      <c r="G31" s="51" t="s">
        <v>198</v>
      </c>
      <c r="H31" s="110" t="s">
        <v>225</v>
      </c>
      <c r="I31" s="110"/>
      <c r="J31" s="110"/>
    </row>
    <row r="32" spans="1:10" x14ac:dyDescent="0.25">
      <c r="B32" s="119" t="s">
        <v>173</v>
      </c>
      <c r="C32" s="119">
        <v>365</v>
      </c>
      <c r="D32" s="120">
        <v>4650</v>
      </c>
      <c r="E32" s="121">
        <f t="shared" ref="E32:E40" si="0">D32*30</f>
        <v>139500</v>
      </c>
      <c r="F32" s="122" t="s">
        <v>224</v>
      </c>
      <c r="G32" s="123">
        <v>103.74</v>
      </c>
      <c r="H32" s="126" t="s">
        <v>227</v>
      </c>
      <c r="I32" s="124"/>
      <c r="J32" s="125"/>
    </row>
    <row r="33" spans="1:10" x14ac:dyDescent="0.25">
      <c r="B33" s="11" t="s">
        <v>174</v>
      </c>
      <c r="C33" s="11">
        <v>365</v>
      </c>
      <c r="D33" s="12">
        <v>1400</v>
      </c>
      <c r="E33" s="78">
        <f t="shared" si="0"/>
        <v>42000</v>
      </c>
      <c r="F33" s="13"/>
      <c r="G33" s="14">
        <v>103.74</v>
      </c>
      <c r="J33" s="15"/>
    </row>
    <row r="34" spans="1:10" x14ac:dyDescent="0.25">
      <c r="B34" s="11" t="s">
        <v>175</v>
      </c>
      <c r="C34" s="11">
        <v>280</v>
      </c>
      <c r="D34" s="12">
        <v>390</v>
      </c>
      <c r="E34" s="78">
        <f t="shared" si="0"/>
        <v>11700</v>
      </c>
      <c r="F34" s="13"/>
      <c r="G34" s="14">
        <v>103.74</v>
      </c>
      <c r="J34" s="15"/>
    </row>
    <row r="35" spans="1:10" x14ac:dyDescent="0.25">
      <c r="B35" s="11" t="s">
        <v>176</v>
      </c>
      <c r="C35" s="11">
        <v>365</v>
      </c>
      <c r="D35" s="12">
        <v>1100</v>
      </c>
      <c r="E35" s="78">
        <f t="shared" si="0"/>
        <v>33000</v>
      </c>
      <c r="F35" s="13"/>
      <c r="G35" s="14">
        <v>103.74</v>
      </c>
      <c r="J35" s="15"/>
    </row>
    <row r="36" spans="1:10" x14ac:dyDescent="0.25">
      <c r="B36" s="11" t="s">
        <v>196</v>
      </c>
      <c r="C36" s="11">
        <v>270</v>
      </c>
      <c r="D36" s="120">
        <v>810</v>
      </c>
      <c r="E36" s="78">
        <f t="shared" si="0"/>
        <v>24300</v>
      </c>
      <c r="F36" s="13"/>
      <c r="G36" s="14">
        <v>103.74</v>
      </c>
      <c r="H36" s="1" t="s">
        <v>16</v>
      </c>
      <c r="J36" s="15"/>
    </row>
    <row r="37" spans="1:10" x14ac:dyDescent="0.25">
      <c r="B37" s="11" t="s">
        <v>187</v>
      </c>
      <c r="C37" s="11">
        <v>150</v>
      </c>
      <c r="D37" s="12">
        <v>650</v>
      </c>
      <c r="E37" s="78">
        <f t="shared" si="0"/>
        <v>19500</v>
      </c>
      <c r="F37" s="13"/>
      <c r="G37" s="14">
        <v>103.74</v>
      </c>
      <c r="J37" s="15"/>
    </row>
    <row r="38" spans="1:10" x14ac:dyDescent="0.25">
      <c r="B38" s="11" t="s">
        <v>197</v>
      </c>
      <c r="C38" s="99">
        <v>45</v>
      </c>
      <c r="D38" s="12">
        <v>475</v>
      </c>
      <c r="E38" s="78">
        <f t="shared" si="0"/>
        <v>14250</v>
      </c>
      <c r="F38" s="13"/>
      <c r="G38" s="14">
        <v>103.74</v>
      </c>
      <c r="H38" s="9" t="s">
        <v>19</v>
      </c>
      <c r="J38" s="15"/>
    </row>
    <row r="39" spans="1:10" x14ac:dyDescent="0.25">
      <c r="B39" s="11" t="s">
        <v>188</v>
      </c>
      <c r="C39" s="11">
        <v>150</v>
      </c>
      <c r="D39" s="12">
        <v>300</v>
      </c>
      <c r="E39" s="78">
        <f t="shared" si="0"/>
        <v>9000</v>
      </c>
      <c r="F39" s="13"/>
      <c r="G39" s="14">
        <v>103.74</v>
      </c>
      <c r="J39" s="15"/>
    </row>
    <row r="40" spans="1:10" x14ac:dyDescent="0.25">
      <c r="B40" s="11" t="s">
        <v>189</v>
      </c>
      <c r="C40" s="11">
        <v>52</v>
      </c>
      <c r="D40" s="12">
        <v>250</v>
      </c>
      <c r="E40" s="78">
        <f t="shared" si="0"/>
        <v>7500</v>
      </c>
      <c r="F40" s="13"/>
      <c r="G40" s="14">
        <v>103.74</v>
      </c>
      <c r="J40" s="15"/>
    </row>
    <row r="42" spans="1:10" x14ac:dyDescent="0.25">
      <c r="B42" s="17" t="s">
        <v>160</v>
      </c>
    </row>
    <row r="43" spans="1:10" x14ac:dyDescent="0.25">
      <c r="B43" s="18" t="s">
        <v>226</v>
      </c>
    </row>
    <row r="45" spans="1:10" ht="16.5" thickBot="1" x14ac:dyDescent="0.3">
      <c r="A45" s="3" t="s">
        <v>190</v>
      </c>
      <c r="B45" s="4"/>
      <c r="C45" s="4"/>
      <c r="D45" s="4"/>
      <c r="E45" s="4"/>
      <c r="F45" s="4"/>
      <c r="G45" s="4"/>
      <c r="H45" s="4"/>
      <c r="I45" s="4"/>
    </row>
    <row r="46" spans="1:10" x14ac:dyDescent="0.25">
      <c r="B46" s="5"/>
      <c r="C46" s="19"/>
    </row>
    <row r="47" spans="1:10" x14ac:dyDescent="0.25">
      <c r="B47" s="5" t="str">
        <f>B25</f>
        <v>Utilidad fiscal del ejercicio para efectos de PTU 2022</v>
      </c>
      <c r="E47" s="20">
        <f>E25</f>
        <v>2195356</v>
      </c>
    </row>
    <row r="48" spans="1:10" x14ac:dyDescent="0.25">
      <c r="A48" s="5" t="s">
        <v>0</v>
      </c>
      <c r="B48" s="5" t="s">
        <v>1</v>
      </c>
      <c r="E48" s="21">
        <v>0.1</v>
      </c>
    </row>
    <row r="49" spans="1:9" x14ac:dyDescent="0.25">
      <c r="E49" s="22"/>
    </row>
    <row r="50" spans="1:9" x14ac:dyDescent="0.25">
      <c r="A50" s="5" t="s">
        <v>2</v>
      </c>
      <c r="B50" s="79" t="s">
        <v>261</v>
      </c>
      <c r="C50" s="2"/>
      <c r="D50" s="2"/>
      <c r="E50" s="81">
        <f>E47*E48</f>
        <v>219535.6</v>
      </c>
    </row>
    <row r="51" spans="1:9" x14ac:dyDescent="0.25">
      <c r="A51" s="127" t="s">
        <v>3</v>
      </c>
      <c r="B51" s="5" t="str">
        <f>B26</f>
        <v xml:space="preserve">PTU del ejercicio 2021, repartida en 2022 no reclamada </v>
      </c>
      <c r="E51" s="130">
        <f>E26</f>
        <v>16589</v>
      </c>
    </row>
    <row r="52" spans="1:9" x14ac:dyDescent="0.25">
      <c r="A52" s="128" t="s">
        <v>4</v>
      </c>
      <c r="B52" s="5" t="str">
        <f>B27</f>
        <v xml:space="preserve">PTU que en 2022 se hubiera determinado como pagada indebidamente </v>
      </c>
      <c r="E52" s="129">
        <f>E27</f>
        <v>9654</v>
      </c>
    </row>
    <row r="53" spans="1:9" x14ac:dyDescent="0.25">
      <c r="E53" s="22"/>
    </row>
    <row r="54" spans="1:9" x14ac:dyDescent="0.25">
      <c r="A54" s="5" t="s">
        <v>2</v>
      </c>
      <c r="B54" s="79" t="s">
        <v>203</v>
      </c>
      <c r="C54" s="2"/>
      <c r="D54" s="2"/>
      <c r="E54" s="80">
        <f>E50+E51-E52</f>
        <v>226470.6</v>
      </c>
    </row>
    <row r="56" spans="1:9" x14ac:dyDescent="0.25">
      <c r="B56" s="5" t="s">
        <v>5</v>
      </c>
      <c r="E56" s="24">
        <f>E54*0.5</f>
        <v>113235.3</v>
      </c>
    </row>
    <row r="57" spans="1:9" x14ac:dyDescent="0.25">
      <c r="B57" s="5" t="s">
        <v>6</v>
      </c>
      <c r="E57" s="24">
        <f>E54*0.5</f>
        <v>113235.3</v>
      </c>
    </row>
    <row r="60" spans="1:9" ht="16.5" thickBot="1" x14ac:dyDescent="0.3">
      <c r="A60" s="3" t="s">
        <v>46</v>
      </c>
      <c r="B60" s="25"/>
      <c r="C60" s="25"/>
      <c r="D60" s="25"/>
      <c r="E60" s="25"/>
      <c r="F60" s="25"/>
      <c r="G60" s="25"/>
      <c r="H60" s="26"/>
      <c r="I60" s="4"/>
    </row>
    <row r="61" spans="1:9" x14ac:dyDescent="0.25">
      <c r="A61" s="10"/>
      <c r="B61" s="10"/>
      <c r="C61" s="10"/>
      <c r="D61" s="10"/>
      <c r="E61" s="27"/>
      <c r="F61" s="27"/>
      <c r="H61" s="28"/>
    </row>
    <row r="62" spans="1:9" x14ac:dyDescent="0.25">
      <c r="A62" s="10"/>
      <c r="B62" s="9" t="s">
        <v>195</v>
      </c>
      <c r="D62" s="10"/>
      <c r="E62" s="28">
        <v>722</v>
      </c>
      <c r="F62" s="27"/>
      <c r="H62" s="28"/>
    </row>
    <row r="63" spans="1:9" x14ac:dyDescent="0.25">
      <c r="A63" s="10"/>
      <c r="B63" s="9" t="s">
        <v>18</v>
      </c>
      <c r="D63" s="10"/>
      <c r="E63" s="29">
        <v>0.2</v>
      </c>
      <c r="F63" s="27"/>
      <c r="H63" s="28"/>
    </row>
    <row r="64" spans="1:9" x14ac:dyDescent="0.25">
      <c r="A64" s="10"/>
      <c r="B64" s="9" t="s">
        <v>194</v>
      </c>
      <c r="D64" s="27"/>
      <c r="E64" s="69">
        <f>E62*(1+E63)</f>
        <v>866.4</v>
      </c>
      <c r="F64" s="27"/>
      <c r="H64" s="28"/>
    </row>
    <row r="65" spans="1:9" x14ac:dyDescent="0.25">
      <c r="A65" s="10"/>
      <c r="B65" s="9"/>
      <c r="C65" s="9"/>
      <c r="D65" s="27"/>
      <c r="E65" s="27"/>
      <c r="F65" s="27"/>
      <c r="H65" s="28"/>
    </row>
    <row r="66" spans="1:9" ht="45" x14ac:dyDescent="0.25">
      <c r="A66" s="10"/>
      <c r="B66" s="51" t="s">
        <v>49</v>
      </c>
      <c r="C66" s="51" t="s">
        <v>56</v>
      </c>
      <c r="D66" s="51" t="s">
        <v>57</v>
      </c>
      <c r="E66" s="51" t="s">
        <v>193</v>
      </c>
      <c r="F66" s="51" t="s">
        <v>59</v>
      </c>
      <c r="G66" s="51" t="s">
        <v>159</v>
      </c>
      <c r="H66" s="51" t="s">
        <v>60</v>
      </c>
      <c r="I66" s="51" t="s">
        <v>58</v>
      </c>
    </row>
    <row r="67" spans="1:9" x14ac:dyDescent="0.25">
      <c r="A67" s="10"/>
      <c r="B67" s="60"/>
      <c r="C67" s="56" t="s">
        <v>7</v>
      </c>
      <c r="D67" s="56" t="s">
        <v>8</v>
      </c>
      <c r="E67" s="56" t="s">
        <v>42</v>
      </c>
      <c r="F67" s="56" t="s">
        <v>9</v>
      </c>
      <c r="G67" s="55"/>
      <c r="H67" s="56" t="s">
        <v>7</v>
      </c>
      <c r="I67" s="56" t="s">
        <v>23</v>
      </c>
    </row>
    <row r="68" spans="1:9" x14ac:dyDescent="0.25">
      <c r="A68" s="9"/>
      <c r="B68" s="131" t="str">
        <f t="shared" ref="B68:D76" si="1">B32</f>
        <v>A</v>
      </c>
      <c r="C68" s="131">
        <v>365</v>
      </c>
      <c r="D68" s="132">
        <f t="shared" si="1"/>
        <v>4650</v>
      </c>
      <c r="E68" s="131">
        <f t="shared" ref="E68:E76" si="2">IF(D68&gt;E$64,E$64,D68)</f>
        <v>866.4</v>
      </c>
      <c r="F68" s="132">
        <f t="shared" ref="F68:F76" si="3">C68*E68</f>
        <v>316236</v>
      </c>
      <c r="G68" s="32" t="str">
        <f>F32</f>
        <v>X</v>
      </c>
      <c r="H68" s="133">
        <f>IF(G68&lt;&gt;0,0,C68)</f>
        <v>0</v>
      </c>
      <c r="I68" s="133">
        <f>IF(G68&lt;&gt;0,0,F68)</f>
        <v>0</v>
      </c>
    </row>
    <row r="69" spans="1:9" x14ac:dyDescent="0.25">
      <c r="A69" s="9"/>
      <c r="B69" s="28" t="str">
        <f t="shared" si="1"/>
        <v>B</v>
      </c>
      <c r="C69" s="28">
        <v>365</v>
      </c>
      <c r="D69" s="134">
        <f t="shared" si="1"/>
        <v>1400</v>
      </c>
      <c r="E69" s="28">
        <f t="shared" si="2"/>
        <v>866.4</v>
      </c>
      <c r="F69" s="31">
        <f t="shared" si="3"/>
        <v>316236</v>
      </c>
      <c r="G69" s="32">
        <f t="shared" ref="G69:G76" si="4">F33</f>
        <v>0</v>
      </c>
      <c r="H69" s="100">
        <f t="shared" ref="H69:H76" si="5">IF(G69&lt;&gt;0,0,C69)</f>
        <v>365</v>
      </c>
      <c r="I69" s="100">
        <f t="shared" ref="I69:I76" si="6">IF(G69&lt;&gt;0,0,F69)</f>
        <v>316236</v>
      </c>
    </row>
    <row r="70" spans="1:9" x14ac:dyDescent="0.25">
      <c r="A70" s="9"/>
      <c r="B70" s="28" t="str">
        <f t="shared" si="1"/>
        <v>C</v>
      </c>
      <c r="C70" s="28">
        <v>301</v>
      </c>
      <c r="D70" s="31">
        <f t="shared" si="1"/>
        <v>390</v>
      </c>
      <c r="E70" s="34">
        <f t="shared" si="2"/>
        <v>390</v>
      </c>
      <c r="F70" s="33">
        <f t="shared" si="3"/>
        <v>117390</v>
      </c>
      <c r="G70" s="32">
        <f t="shared" si="4"/>
        <v>0</v>
      </c>
      <c r="H70" s="100">
        <f t="shared" si="5"/>
        <v>301</v>
      </c>
      <c r="I70" s="100">
        <f t="shared" si="6"/>
        <v>117390</v>
      </c>
    </row>
    <row r="71" spans="1:9" x14ac:dyDescent="0.25">
      <c r="A71" s="9"/>
      <c r="B71" s="28" t="str">
        <f t="shared" si="1"/>
        <v>D</v>
      </c>
      <c r="C71" s="28">
        <v>221</v>
      </c>
      <c r="D71" s="134">
        <f t="shared" si="1"/>
        <v>1100</v>
      </c>
      <c r="E71" s="34">
        <f t="shared" si="2"/>
        <v>866.4</v>
      </c>
      <c r="F71" s="33">
        <f t="shared" si="3"/>
        <v>191474.4</v>
      </c>
      <c r="G71" s="32">
        <f t="shared" si="4"/>
        <v>0</v>
      </c>
      <c r="H71" s="100">
        <f t="shared" si="5"/>
        <v>221</v>
      </c>
      <c r="I71" s="100">
        <f t="shared" si="6"/>
        <v>191474.4</v>
      </c>
    </row>
    <row r="72" spans="1:9" x14ac:dyDescent="0.25">
      <c r="A72" s="9"/>
      <c r="B72" s="28" t="str">
        <f t="shared" si="1"/>
        <v>E (3)</v>
      </c>
      <c r="C72" s="28">
        <v>176</v>
      </c>
      <c r="D72" s="31">
        <f t="shared" si="1"/>
        <v>810</v>
      </c>
      <c r="E72" s="34">
        <f t="shared" si="2"/>
        <v>810</v>
      </c>
      <c r="F72" s="33">
        <f t="shared" si="3"/>
        <v>142560</v>
      </c>
      <c r="G72" s="32">
        <f t="shared" si="4"/>
        <v>0</v>
      </c>
      <c r="H72" s="100">
        <f t="shared" si="5"/>
        <v>176</v>
      </c>
      <c r="I72" s="100">
        <f t="shared" si="6"/>
        <v>142560</v>
      </c>
    </row>
    <row r="73" spans="1:9" x14ac:dyDescent="0.25">
      <c r="A73" s="9"/>
      <c r="B73" s="28" t="str">
        <f t="shared" si="1"/>
        <v>F</v>
      </c>
      <c r="C73" s="28">
        <v>365</v>
      </c>
      <c r="D73" s="31">
        <f t="shared" si="1"/>
        <v>650</v>
      </c>
      <c r="E73" s="34">
        <f t="shared" si="2"/>
        <v>650</v>
      </c>
      <c r="F73" s="33">
        <f t="shared" si="3"/>
        <v>237250</v>
      </c>
      <c r="G73" s="32">
        <f t="shared" si="4"/>
        <v>0</v>
      </c>
      <c r="H73" s="100">
        <f t="shared" si="5"/>
        <v>365</v>
      </c>
      <c r="I73" s="100">
        <f t="shared" si="6"/>
        <v>237250</v>
      </c>
    </row>
    <row r="74" spans="1:9" x14ac:dyDescent="0.25">
      <c r="A74" s="9"/>
      <c r="B74" s="28" t="str">
        <f t="shared" si="1"/>
        <v>G (4)</v>
      </c>
      <c r="C74" s="28">
        <v>49</v>
      </c>
      <c r="D74" s="31">
        <f t="shared" si="1"/>
        <v>475</v>
      </c>
      <c r="E74" s="34">
        <f t="shared" si="2"/>
        <v>475</v>
      </c>
      <c r="F74" s="33">
        <f t="shared" si="3"/>
        <v>23275</v>
      </c>
      <c r="G74" s="32">
        <f t="shared" si="4"/>
        <v>0</v>
      </c>
      <c r="H74" s="100">
        <f t="shared" si="5"/>
        <v>49</v>
      </c>
      <c r="I74" s="100">
        <f t="shared" si="6"/>
        <v>23275</v>
      </c>
    </row>
    <row r="75" spans="1:9" x14ac:dyDescent="0.25">
      <c r="A75" s="9"/>
      <c r="B75" s="28" t="str">
        <f t="shared" si="1"/>
        <v>H</v>
      </c>
      <c r="C75" s="28">
        <v>191</v>
      </c>
      <c r="D75" s="31">
        <f t="shared" si="1"/>
        <v>300</v>
      </c>
      <c r="E75" s="34">
        <f t="shared" si="2"/>
        <v>300</v>
      </c>
      <c r="F75" s="33">
        <f t="shared" si="3"/>
        <v>57300</v>
      </c>
      <c r="G75" s="32">
        <f t="shared" si="4"/>
        <v>0</v>
      </c>
      <c r="H75" s="100">
        <f t="shared" si="5"/>
        <v>191</v>
      </c>
      <c r="I75" s="100">
        <f t="shared" si="6"/>
        <v>57300</v>
      </c>
    </row>
    <row r="76" spans="1:9" x14ac:dyDescent="0.25">
      <c r="A76" s="9"/>
      <c r="B76" s="28" t="str">
        <f t="shared" si="1"/>
        <v>I</v>
      </c>
      <c r="C76" s="28">
        <v>89</v>
      </c>
      <c r="D76" s="31">
        <f t="shared" si="1"/>
        <v>250</v>
      </c>
      <c r="E76" s="34">
        <f t="shared" si="2"/>
        <v>250</v>
      </c>
      <c r="F76" s="33">
        <f t="shared" si="3"/>
        <v>22250</v>
      </c>
      <c r="G76" s="32">
        <f t="shared" si="4"/>
        <v>0</v>
      </c>
      <c r="H76" s="100">
        <f t="shared" si="5"/>
        <v>89</v>
      </c>
      <c r="I76" s="100">
        <f t="shared" si="6"/>
        <v>22250</v>
      </c>
    </row>
    <row r="77" spans="1:9" x14ac:dyDescent="0.25">
      <c r="A77" s="9"/>
      <c r="B77" s="28"/>
      <c r="D77" s="28"/>
      <c r="E77" s="28"/>
      <c r="H77" s="35"/>
      <c r="I77" s="22"/>
    </row>
    <row r="78" spans="1:9" x14ac:dyDescent="0.25">
      <c r="A78" s="9" t="s">
        <v>12</v>
      </c>
      <c r="B78" s="9" t="s">
        <v>34</v>
      </c>
      <c r="D78" s="28"/>
      <c r="E78" s="28"/>
      <c r="H78" s="33">
        <f>SUM(H68:H77)</f>
        <v>1757</v>
      </c>
      <c r="I78" s="33">
        <f>SUM(I68:I77)</f>
        <v>1107735.3999999999</v>
      </c>
    </row>
    <row r="79" spans="1:9" x14ac:dyDescent="0.25">
      <c r="A79" s="9"/>
      <c r="B79" s="9"/>
      <c r="D79" s="28"/>
      <c r="E79" s="28"/>
      <c r="H79" s="33"/>
      <c r="I79" s="33"/>
    </row>
    <row r="80" spans="1:9" x14ac:dyDescent="0.25">
      <c r="B80" s="9" t="s">
        <v>11</v>
      </c>
      <c r="D80" s="28"/>
      <c r="E80" s="28"/>
      <c r="H80" s="33">
        <f>E56</f>
        <v>113235.3</v>
      </c>
      <c r="I80" s="33">
        <f>E57</f>
        <v>113235.3</v>
      </c>
    </row>
    <row r="81" spans="1:9" x14ac:dyDescent="0.25">
      <c r="A81" s="9" t="s">
        <v>10</v>
      </c>
      <c r="B81" s="9" t="s">
        <v>28</v>
      </c>
      <c r="D81" s="28"/>
      <c r="E81" s="28"/>
      <c r="H81" s="33">
        <f>H78</f>
        <v>1757</v>
      </c>
      <c r="I81" s="33">
        <f>I78</f>
        <v>1107735.3999999999</v>
      </c>
    </row>
    <row r="82" spans="1:9" x14ac:dyDescent="0.25">
      <c r="A82" s="9"/>
      <c r="B82" s="28"/>
      <c r="D82" s="9"/>
      <c r="E82" s="9"/>
      <c r="H82" s="35"/>
      <c r="I82" s="35"/>
    </row>
    <row r="83" spans="1:9" x14ac:dyDescent="0.25">
      <c r="A83" s="9" t="s">
        <v>12</v>
      </c>
      <c r="B83" s="9" t="s">
        <v>13</v>
      </c>
      <c r="D83" s="28"/>
      <c r="E83" s="28"/>
      <c r="H83" s="36">
        <f>H80/H81</f>
        <v>64.448093340922028</v>
      </c>
      <c r="I83" s="36">
        <f>I80/I81</f>
        <v>0.10222233576718774</v>
      </c>
    </row>
    <row r="84" spans="1:9" x14ac:dyDescent="0.25">
      <c r="A84" s="28"/>
      <c r="B84" s="28"/>
      <c r="C84" s="28"/>
      <c r="D84" s="28"/>
      <c r="E84" s="28"/>
      <c r="F84" s="28"/>
      <c r="G84" s="28"/>
      <c r="H84" s="28"/>
    </row>
    <row r="85" spans="1:9" x14ac:dyDescent="0.25">
      <c r="A85" s="9"/>
      <c r="B85" s="9"/>
      <c r="C85" s="9"/>
      <c r="D85" s="9"/>
      <c r="E85" s="9"/>
      <c r="F85" s="9"/>
      <c r="G85" s="9"/>
      <c r="H85" s="28"/>
    </row>
    <row r="86" spans="1:9" x14ac:dyDescent="0.25">
      <c r="A86" s="37" t="s">
        <v>47</v>
      </c>
      <c r="B86" s="28"/>
      <c r="C86" s="28"/>
      <c r="D86" s="28"/>
      <c r="E86" s="28"/>
      <c r="F86" s="28"/>
      <c r="G86" s="28"/>
      <c r="H86" s="28"/>
    </row>
    <row r="87" spans="1:9" x14ac:dyDescent="0.25">
      <c r="A87" s="38" t="s">
        <v>29</v>
      </c>
      <c r="B87" s="9" t="s">
        <v>14</v>
      </c>
      <c r="C87" s="9"/>
      <c r="D87" s="28"/>
      <c r="E87" s="28"/>
      <c r="F87" s="28"/>
      <c r="G87" s="28"/>
      <c r="H87" s="28"/>
    </row>
    <row r="88" spans="1:9" x14ac:dyDescent="0.25">
      <c r="A88" s="38" t="s">
        <v>30</v>
      </c>
      <c r="B88" s="9" t="s">
        <v>15</v>
      </c>
      <c r="C88" s="9"/>
      <c r="D88" s="28"/>
      <c r="E88" s="28"/>
      <c r="F88" s="28"/>
      <c r="G88" s="28"/>
      <c r="H88" s="28"/>
    </row>
    <row r="89" spans="1:9" x14ac:dyDescent="0.25">
      <c r="A89" s="38" t="s">
        <v>31</v>
      </c>
      <c r="B89" s="9" t="s">
        <v>16</v>
      </c>
      <c r="C89" s="9"/>
      <c r="D89" s="28"/>
      <c r="E89" s="28"/>
      <c r="F89" s="28"/>
      <c r="G89" s="28"/>
      <c r="H89" s="28"/>
    </row>
    <row r="90" spans="1:9" x14ac:dyDescent="0.25">
      <c r="A90" s="38" t="s">
        <v>32</v>
      </c>
      <c r="B90" s="9" t="s">
        <v>19</v>
      </c>
      <c r="C90" s="9"/>
      <c r="D90" s="28"/>
      <c r="E90" s="28"/>
      <c r="F90" s="28"/>
      <c r="G90" s="28"/>
      <c r="H90" s="28"/>
    </row>
    <row r="91" spans="1:9" x14ac:dyDescent="0.25">
      <c r="A91" s="38" t="s">
        <v>33</v>
      </c>
      <c r="B91" s="9" t="s">
        <v>20</v>
      </c>
      <c r="C91" s="9"/>
      <c r="D91" s="28"/>
      <c r="E91" s="28"/>
      <c r="F91" s="28"/>
      <c r="G91" s="28"/>
      <c r="H91" s="28"/>
    </row>
    <row r="92" spans="1:9" x14ac:dyDescent="0.25">
      <c r="A92" s="28"/>
      <c r="B92" s="28"/>
      <c r="C92" s="28"/>
      <c r="D92" s="28"/>
      <c r="E92" s="28"/>
      <c r="F92" s="28"/>
      <c r="G92" s="28"/>
      <c r="H92" s="28"/>
    </row>
    <row r="93" spans="1:9" x14ac:dyDescent="0.25">
      <c r="A93" s="28"/>
      <c r="B93" s="28"/>
      <c r="C93" s="28"/>
      <c r="D93" s="28"/>
      <c r="E93" s="28"/>
      <c r="F93" s="28"/>
      <c r="G93" s="28"/>
      <c r="H93" s="28"/>
    </row>
    <row r="94" spans="1:9" ht="15" customHeight="1" thickBot="1" x14ac:dyDescent="0.3">
      <c r="A94" s="25" t="s">
        <v>48</v>
      </c>
      <c r="B94" s="25"/>
      <c r="C94" s="25"/>
      <c r="D94" s="25"/>
      <c r="E94" s="25"/>
      <c r="F94" s="25"/>
      <c r="G94" s="25"/>
      <c r="H94" s="25"/>
      <c r="I94" s="25"/>
    </row>
    <row r="95" spans="1:9" ht="15" customHeight="1" x14ac:dyDescent="0.25"/>
    <row r="96" spans="1:9" ht="45" x14ac:dyDescent="0.25">
      <c r="B96" s="51" t="s">
        <v>49</v>
      </c>
      <c r="C96" s="51" t="s">
        <v>62</v>
      </c>
      <c r="D96" s="51" t="s">
        <v>50</v>
      </c>
      <c r="E96" s="51" t="s">
        <v>51</v>
      </c>
      <c r="F96" s="51" t="s">
        <v>52</v>
      </c>
      <c r="G96" s="51" t="s">
        <v>53</v>
      </c>
      <c r="H96" s="51" t="s">
        <v>54</v>
      </c>
      <c r="I96" s="51" t="s">
        <v>55</v>
      </c>
    </row>
    <row r="97" spans="1:9" x14ac:dyDescent="0.25">
      <c r="B97" s="57"/>
      <c r="C97" s="57" t="s">
        <v>7</v>
      </c>
      <c r="D97" s="57" t="s">
        <v>21</v>
      </c>
      <c r="E97" s="57" t="s">
        <v>22</v>
      </c>
      <c r="F97" s="57" t="s">
        <v>23</v>
      </c>
      <c r="G97" s="57" t="s">
        <v>24</v>
      </c>
      <c r="H97" s="57" t="s">
        <v>25</v>
      </c>
      <c r="I97" s="57" t="s">
        <v>26</v>
      </c>
    </row>
    <row r="98" spans="1:9" x14ac:dyDescent="0.25">
      <c r="B98" s="9" t="str">
        <f t="shared" ref="B98:B106" si="7">B68</f>
        <v>A</v>
      </c>
      <c r="C98" s="33">
        <f t="shared" ref="C98:C106" si="8">H68</f>
        <v>0</v>
      </c>
      <c r="D98" s="39">
        <f t="shared" ref="D98:D105" si="9">H$83</f>
        <v>64.448093340922028</v>
      </c>
      <c r="E98" s="33">
        <f t="shared" ref="E98:E106" si="10">C98*D98</f>
        <v>0</v>
      </c>
      <c r="F98" s="33">
        <f>I68</f>
        <v>0</v>
      </c>
      <c r="G98" s="39">
        <f>I$83</f>
        <v>0.10222233576718774</v>
      </c>
      <c r="H98" s="33">
        <f>F98*G98</f>
        <v>0</v>
      </c>
      <c r="I98" s="33">
        <f>E98+H98</f>
        <v>0</v>
      </c>
    </row>
    <row r="99" spans="1:9" x14ac:dyDescent="0.25">
      <c r="B99" s="9" t="str">
        <f t="shared" si="7"/>
        <v>B</v>
      </c>
      <c r="C99" s="33">
        <f t="shared" si="8"/>
        <v>365</v>
      </c>
      <c r="D99" s="39">
        <f t="shared" si="9"/>
        <v>64.448093340922028</v>
      </c>
      <c r="E99" s="33">
        <f t="shared" si="10"/>
        <v>23523.554069436541</v>
      </c>
      <c r="F99" s="33">
        <f>I69</f>
        <v>316236</v>
      </c>
      <c r="G99" s="39">
        <f t="shared" ref="G99:G106" si="11">I$83</f>
        <v>0.10222233576718774</v>
      </c>
      <c r="H99" s="33">
        <f>F99*G99</f>
        <v>32326.382573672381</v>
      </c>
      <c r="I99" s="33">
        <f>E99+H99</f>
        <v>55849.936643108922</v>
      </c>
    </row>
    <row r="100" spans="1:9" x14ac:dyDescent="0.25">
      <c r="B100" s="9" t="str">
        <f t="shared" si="7"/>
        <v>C</v>
      </c>
      <c r="C100" s="33">
        <f t="shared" si="8"/>
        <v>301</v>
      </c>
      <c r="D100" s="39">
        <f t="shared" si="9"/>
        <v>64.448093340922028</v>
      </c>
      <c r="E100" s="33">
        <f t="shared" si="10"/>
        <v>19398.876095617532</v>
      </c>
      <c r="F100" s="33">
        <f t="shared" ref="F100:F106" si="12">I70</f>
        <v>117390</v>
      </c>
      <c r="G100" s="39">
        <f t="shared" si="11"/>
        <v>0.10222233576718774</v>
      </c>
      <c r="H100" s="33">
        <f>F100*G100</f>
        <v>11999.879995710169</v>
      </c>
      <c r="I100" s="33">
        <f t="shared" ref="I100:I106" si="13">E100+H100</f>
        <v>31398.756091327701</v>
      </c>
    </row>
    <row r="101" spans="1:9" x14ac:dyDescent="0.25">
      <c r="B101" s="9" t="str">
        <f t="shared" si="7"/>
        <v>D</v>
      </c>
      <c r="C101" s="33">
        <f t="shared" si="8"/>
        <v>221</v>
      </c>
      <c r="D101" s="39">
        <f t="shared" si="9"/>
        <v>64.448093340922028</v>
      </c>
      <c r="E101" s="33">
        <f t="shared" si="10"/>
        <v>14243.028628343769</v>
      </c>
      <c r="F101" s="33">
        <f t="shared" si="12"/>
        <v>191474.4</v>
      </c>
      <c r="G101" s="39">
        <f t="shared" si="11"/>
        <v>0.10222233576718774</v>
      </c>
      <c r="H101" s="33">
        <f t="shared" ref="H101:H106" si="14">F101*G101</f>
        <v>19572.960407620812</v>
      </c>
      <c r="I101" s="33">
        <f t="shared" si="13"/>
        <v>33815.98903596458</v>
      </c>
    </row>
    <row r="102" spans="1:9" x14ac:dyDescent="0.25">
      <c r="B102" s="9" t="str">
        <f t="shared" si="7"/>
        <v>E (3)</v>
      </c>
      <c r="C102" s="33">
        <f t="shared" si="8"/>
        <v>176</v>
      </c>
      <c r="D102" s="39">
        <f t="shared" si="9"/>
        <v>64.448093340922028</v>
      </c>
      <c r="E102" s="33">
        <f t="shared" si="10"/>
        <v>11342.864428002276</v>
      </c>
      <c r="F102" s="33">
        <f t="shared" si="12"/>
        <v>142560</v>
      </c>
      <c r="G102" s="39">
        <f t="shared" si="11"/>
        <v>0.10222233576718774</v>
      </c>
      <c r="H102" s="33">
        <f t="shared" si="14"/>
        <v>14572.816186970284</v>
      </c>
      <c r="I102" s="33">
        <f t="shared" si="13"/>
        <v>25915.68061497256</v>
      </c>
    </row>
    <row r="103" spans="1:9" x14ac:dyDescent="0.25">
      <c r="B103" s="9" t="str">
        <f t="shared" si="7"/>
        <v>F</v>
      </c>
      <c r="C103" s="33">
        <f t="shared" si="8"/>
        <v>365</v>
      </c>
      <c r="D103" s="39">
        <f t="shared" si="9"/>
        <v>64.448093340922028</v>
      </c>
      <c r="E103" s="33">
        <f t="shared" si="10"/>
        <v>23523.554069436541</v>
      </c>
      <c r="F103" s="33">
        <f t="shared" si="12"/>
        <v>237250</v>
      </c>
      <c r="G103" s="39">
        <f t="shared" si="11"/>
        <v>0.10222233576718774</v>
      </c>
      <c r="H103" s="33">
        <f t="shared" si="14"/>
        <v>24252.249160765292</v>
      </c>
      <c r="I103" s="33">
        <f t="shared" si="13"/>
        <v>47775.803230201833</v>
      </c>
    </row>
    <row r="104" spans="1:9" x14ac:dyDescent="0.25">
      <c r="B104" s="9" t="str">
        <f t="shared" si="7"/>
        <v>G (4)</v>
      </c>
      <c r="C104" s="33">
        <f t="shared" si="8"/>
        <v>49</v>
      </c>
      <c r="D104" s="39">
        <f t="shared" si="9"/>
        <v>64.448093340922028</v>
      </c>
      <c r="E104" s="33">
        <f t="shared" si="10"/>
        <v>3157.9565737051794</v>
      </c>
      <c r="F104" s="33">
        <f t="shared" si="12"/>
        <v>23275</v>
      </c>
      <c r="G104" s="39">
        <f t="shared" si="11"/>
        <v>0.10222233576718774</v>
      </c>
      <c r="H104" s="33">
        <f t="shared" si="14"/>
        <v>2379.2248649812946</v>
      </c>
      <c r="I104" s="33">
        <f t="shared" si="13"/>
        <v>5537.1814386864735</v>
      </c>
    </row>
    <row r="105" spans="1:9" x14ac:dyDescent="0.25">
      <c r="B105" s="9" t="str">
        <f t="shared" si="7"/>
        <v>H</v>
      </c>
      <c r="C105" s="33">
        <f t="shared" si="8"/>
        <v>191</v>
      </c>
      <c r="D105" s="39">
        <f t="shared" si="9"/>
        <v>64.448093340922028</v>
      </c>
      <c r="E105" s="33">
        <f t="shared" si="10"/>
        <v>12309.585828116107</v>
      </c>
      <c r="F105" s="33">
        <f t="shared" si="12"/>
        <v>57300</v>
      </c>
      <c r="G105" s="39">
        <f t="shared" si="11"/>
        <v>0.10222233576718774</v>
      </c>
      <c r="H105" s="33">
        <f t="shared" si="14"/>
        <v>5857.339839459858</v>
      </c>
      <c r="I105" s="33">
        <f t="shared" si="13"/>
        <v>18166.925667575964</v>
      </c>
    </row>
    <row r="106" spans="1:9" x14ac:dyDescent="0.25">
      <c r="B106" s="9" t="str">
        <f t="shared" si="7"/>
        <v>I</v>
      </c>
      <c r="C106" s="33">
        <f t="shared" si="8"/>
        <v>89</v>
      </c>
      <c r="D106" s="39">
        <f>H$83</f>
        <v>64.448093340922028</v>
      </c>
      <c r="E106" s="33">
        <f t="shared" si="10"/>
        <v>5735.8803073420604</v>
      </c>
      <c r="F106" s="33">
        <f t="shared" si="12"/>
        <v>22250</v>
      </c>
      <c r="G106" s="39">
        <f t="shared" si="11"/>
        <v>0.10222233576718774</v>
      </c>
      <c r="H106" s="33">
        <f t="shared" si="14"/>
        <v>2274.4469708199272</v>
      </c>
      <c r="I106" s="33">
        <f t="shared" si="13"/>
        <v>8010.3272781619871</v>
      </c>
    </row>
    <row r="107" spans="1:9" x14ac:dyDescent="0.25">
      <c r="B107" s="28"/>
      <c r="C107" s="35"/>
      <c r="D107" s="9"/>
      <c r="E107" s="35"/>
      <c r="F107" s="35"/>
      <c r="G107" s="9"/>
      <c r="H107" s="35"/>
      <c r="I107" s="35"/>
    </row>
    <row r="108" spans="1:9" x14ac:dyDescent="0.25">
      <c r="B108" s="30" t="s">
        <v>28</v>
      </c>
      <c r="C108" s="40">
        <f>SUM(C98:C107)</f>
        <v>1757</v>
      </c>
      <c r="D108" s="28"/>
      <c r="E108" s="40">
        <f>SUM(E98:E107)</f>
        <v>113235.29999999999</v>
      </c>
      <c r="F108" s="40">
        <f>SUM(F98:F107)</f>
        <v>1107735.3999999999</v>
      </c>
      <c r="G108" s="28"/>
      <c r="H108" s="40">
        <f>SUM(H98:H107)</f>
        <v>113235.30000000003</v>
      </c>
      <c r="I108" s="40">
        <f>SUM(I98:I107)</f>
        <v>226470.6</v>
      </c>
    </row>
    <row r="111" spans="1:9" ht="16.5" thickBot="1" x14ac:dyDescent="0.3">
      <c r="A111" s="25" t="s">
        <v>95</v>
      </c>
      <c r="B111" s="25"/>
      <c r="C111" s="25"/>
      <c r="D111" s="25"/>
      <c r="E111" s="25"/>
      <c r="F111" s="25"/>
      <c r="G111" s="25"/>
      <c r="H111" s="25"/>
      <c r="I111" s="25"/>
    </row>
    <row r="113" spans="1:9" ht="16.5" thickBot="1" x14ac:dyDescent="0.3">
      <c r="A113" s="41" t="s">
        <v>96</v>
      </c>
      <c r="B113" s="42"/>
      <c r="C113" s="42"/>
      <c r="D113" s="42"/>
      <c r="E113" s="42"/>
      <c r="F113" s="42"/>
      <c r="G113" s="42"/>
      <c r="H113" s="42"/>
      <c r="I113" s="42"/>
    </row>
    <row r="114" spans="1:9" ht="16.5" thickTop="1" x14ac:dyDescent="0.25"/>
    <row r="115" spans="1:9" ht="45" x14ac:dyDescent="0.25">
      <c r="B115" s="51" t="s">
        <v>49</v>
      </c>
      <c r="C115" s="51" t="s">
        <v>78</v>
      </c>
      <c r="D115" s="51" t="s">
        <v>81</v>
      </c>
      <c r="E115" s="51" t="s">
        <v>198</v>
      </c>
    </row>
    <row r="116" spans="1:9" x14ac:dyDescent="0.25">
      <c r="B116" s="1" t="str">
        <f t="shared" ref="B116:B124" si="15">B98</f>
        <v>A</v>
      </c>
      <c r="C116" s="23">
        <f>I98</f>
        <v>0</v>
      </c>
      <c r="D116" s="23">
        <f>E32</f>
        <v>139500</v>
      </c>
      <c r="E116" s="15">
        <f>G32</f>
        <v>103.74</v>
      </c>
    </row>
    <row r="117" spans="1:9" x14ac:dyDescent="0.25">
      <c r="B117" s="1" t="str">
        <f t="shared" si="15"/>
        <v>B</v>
      </c>
      <c r="C117" s="23">
        <f>I99</f>
        <v>55849.936643108922</v>
      </c>
      <c r="D117" s="23">
        <f t="shared" ref="D117:D124" si="16">E33</f>
        <v>42000</v>
      </c>
      <c r="E117" s="15">
        <f t="shared" ref="E117:E124" si="17">G33</f>
        <v>103.74</v>
      </c>
    </row>
    <row r="118" spans="1:9" x14ac:dyDescent="0.25">
      <c r="B118" s="1" t="str">
        <f t="shared" si="15"/>
        <v>C</v>
      </c>
      <c r="C118" s="23">
        <f t="shared" ref="C118:C124" si="18">I100</f>
        <v>31398.756091327701</v>
      </c>
      <c r="D118" s="23">
        <f>E34</f>
        <v>11700</v>
      </c>
      <c r="E118" s="15">
        <f t="shared" si="17"/>
        <v>103.74</v>
      </c>
    </row>
    <row r="119" spans="1:9" x14ac:dyDescent="0.25">
      <c r="B119" s="1" t="str">
        <f t="shared" si="15"/>
        <v>D</v>
      </c>
      <c r="C119" s="23">
        <f t="shared" si="18"/>
        <v>33815.98903596458</v>
      </c>
      <c r="D119" s="23">
        <f t="shared" si="16"/>
        <v>33000</v>
      </c>
      <c r="E119" s="15">
        <f t="shared" si="17"/>
        <v>103.74</v>
      </c>
    </row>
    <row r="120" spans="1:9" x14ac:dyDescent="0.25">
      <c r="B120" s="1" t="str">
        <f t="shared" si="15"/>
        <v>E (3)</v>
      </c>
      <c r="C120" s="23">
        <f t="shared" si="18"/>
        <v>25915.68061497256</v>
      </c>
      <c r="D120" s="23">
        <f t="shared" si="16"/>
        <v>24300</v>
      </c>
      <c r="E120" s="15">
        <f t="shared" si="17"/>
        <v>103.74</v>
      </c>
    </row>
    <row r="121" spans="1:9" x14ac:dyDescent="0.25">
      <c r="B121" s="1" t="str">
        <f t="shared" si="15"/>
        <v>F</v>
      </c>
      <c r="C121" s="23">
        <f t="shared" si="18"/>
        <v>47775.803230201833</v>
      </c>
      <c r="D121" s="23">
        <f t="shared" si="16"/>
        <v>19500</v>
      </c>
      <c r="E121" s="15">
        <f t="shared" si="17"/>
        <v>103.74</v>
      </c>
    </row>
    <row r="122" spans="1:9" x14ac:dyDescent="0.25">
      <c r="B122" s="1" t="str">
        <f t="shared" si="15"/>
        <v>G (4)</v>
      </c>
      <c r="C122" s="23">
        <f t="shared" si="18"/>
        <v>5537.1814386864735</v>
      </c>
      <c r="D122" s="23">
        <f t="shared" si="16"/>
        <v>14250</v>
      </c>
      <c r="E122" s="15">
        <f t="shared" si="17"/>
        <v>103.74</v>
      </c>
    </row>
    <row r="123" spans="1:9" x14ac:dyDescent="0.25">
      <c r="B123" s="1" t="str">
        <f t="shared" si="15"/>
        <v>H</v>
      </c>
      <c r="C123" s="23">
        <f t="shared" si="18"/>
        <v>18166.925667575964</v>
      </c>
      <c r="D123" s="23">
        <f t="shared" si="16"/>
        <v>9000</v>
      </c>
      <c r="E123" s="15">
        <f t="shared" si="17"/>
        <v>103.74</v>
      </c>
    </row>
    <row r="124" spans="1:9" x14ac:dyDescent="0.25">
      <c r="B124" s="1" t="str">
        <f t="shared" si="15"/>
        <v>I</v>
      </c>
      <c r="C124" s="23">
        <f t="shared" si="18"/>
        <v>8010.3272781619871</v>
      </c>
      <c r="D124" s="23">
        <f t="shared" si="16"/>
        <v>7500</v>
      </c>
      <c r="E124" s="15">
        <f t="shared" si="17"/>
        <v>103.74</v>
      </c>
    </row>
    <row r="125" spans="1:9" x14ac:dyDescent="0.25">
      <c r="C125" s="81">
        <f>SUM(C116:C124)</f>
        <v>226470.6</v>
      </c>
    </row>
    <row r="126" spans="1:9" x14ac:dyDescent="0.25">
      <c r="C126" s="81"/>
    </row>
    <row r="127" spans="1:9" ht="16.5" thickBot="1" x14ac:dyDescent="0.3">
      <c r="A127" s="41" t="s">
        <v>223</v>
      </c>
      <c r="B127" s="42"/>
      <c r="C127" s="42"/>
      <c r="D127" s="42"/>
      <c r="E127" s="42"/>
      <c r="F127" s="42"/>
      <c r="G127" s="42"/>
      <c r="H127" s="42"/>
      <c r="I127" s="42"/>
    </row>
    <row r="128" spans="1:9" ht="16.5" thickTop="1" x14ac:dyDescent="0.25"/>
    <row r="129" spans="1:11" x14ac:dyDescent="0.25">
      <c r="A129" s="43" t="s">
        <v>97</v>
      </c>
      <c r="B129" s="22"/>
      <c r="C129" s="22"/>
      <c r="D129" s="22"/>
      <c r="E129" s="22"/>
      <c r="F129" s="22"/>
      <c r="G129" s="22"/>
      <c r="H129" s="22"/>
      <c r="I129" s="22"/>
    </row>
    <row r="131" spans="1:11" ht="60" x14ac:dyDescent="0.25">
      <c r="B131" s="51" t="s">
        <v>49</v>
      </c>
      <c r="C131" s="51" t="s">
        <v>79</v>
      </c>
      <c r="D131" s="51" t="s">
        <v>77</v>
      </c>
      <c r="E131" s="51" t="s">
        <v>71</v>
      </c>
      <c r="F131" s="51" t="s">
        <v>76</v>
      </c>
      <c r="G131" s="51" t="s">
        <v>75</v>
      </c>
      <c r="H131" s="51" t="s">
        <v>74</v>
      </c>
      <c r="I131" s="51" t="s">
        <v>73</v>
      </c>
      <c r="J131" s="51" t="s">
        <v>72</v>
      </c>
      <c r="K131" s="51" t="s">
        <v>118</v>
      </c>
    </row>
    <row r="132" spans="1:11" x14ac:dyDescent="0.25">
      <c r="B132" s="57"/>
      <c r="C132" s="57" t="s">
        <v>7</v>
      </c>
      <c r="D132" s="57" t="s">
        <v>8</v>
      </c>
      <c r="E132" s="57" t="s">
        <v>99</v>
      </c>
      <c r="F132" s="57" t="s">
        <v>23</v>
      </c>
      <c r="G132" s="57" t="s">
        <v>100</v>
      </c>
      <c r="H132" s="57" t="s">
        <v>101</v>
      </c>
      <c r="I132" s="57" t="s">
        <v>102</v>
      </c>
      <c r="J132" s="57" t="s">
        <v>103</v>
      </c>
      <c r="K132" s="57" t="s">
        <v>104</v>
      </c>
    </row>
    <row r="133" spans="1:11" x14ac:dyDescent="0.25">
      <c r="B133" s="1" t="str">
        <f>B116</f>
        <v>A</v>
      </c>
      <c r="C133" s="23">
        <f>D116</f>
        <v>139500</v>
      </c>
      <c r="D133" s="23">
        <f t="shared" ref="D133:D141" si="19">IF(C133=0,0,VLOOKUP(C133,impuesto_mensual,1))</f>
        <v>125325.21</v>
      </c>
      <c r="E133" s="23">
        <f t="shared" ref="E133:E141" si="20">C133-D133</f>
        <v>14174.789999999994</v>
      </c>
      <c r="F133" s="44">
        <f t="shared" ref="F133:F140" si="21">IF(C133=0,0,(VLOOKUP(C133,impuesto_mensual,4))/100)</f>
        <v>0.34</v>
      </c>
      <c r="G133" s="23">
        <f t="shared" ref="G133:G141" si="22">E133*F133</f>
        <v>4819.4285999999984</v>
      </c>
      <c r="H133" s="23">
        <f t="shared" ref="H133:H141" si="23">IF(C133=0,0,VLOOKUP(C133,impuesto_mensual,3))</f>
        <v>32691.18</v>
      </c>
      <c r="I133" s="23">
        <f t="shared" ref="I133:I141" si="24">G133+H133</f>
        <v>37510.6086</v>
      </c>
      <c r="J133" s="23">
        <f t="shared" ref="J133:J141" si="25">IF(C133=0,0,VLOOKUP(C133,crédito_mensual,3))</f>
        <v>0</v>
      </c>
      <c r="K133" s="23">
        <f t="shared" ref="K133:K141" si="26">I133-J133</f>
        <v>37510.6086</v>
      </c>
    </row>
    <row r="134" spans="1:11" x14ac:dyDescent="0.25">
      <c r="B134" s="1" t="str">
        <f>B117</f>
        <v>B</v>
      </c>
      <c r="C134" s="23">
        <f>D117</f>
        <v>42000</v>
      </c>
      <c r="D134" s="23">
        <f t="shared" si="19"/>
        <v>31236.5</v>
      </c>
      <c r="E134" s="23">
        <f t="shared" si="20"/>
        <v>10763.5</v>
      </c>
      <c r="F134" s="44">
        <f t="shared" si="21"/>
        <v>0.23519999999999999</v>
      </c>
      <c r="G134" s="23">
        <f t="shared" si="22"/>
        <v>2531.5751999999998</v>
      </c>
      <c r="H134" s="23">
        <f t="shared" si="23"/>
        <v>5004.12</v>
      </c>
      <c r="I134" s="23">
        <f t="shared" si="24"/>
        <v>7535.6952000000001</v>
      </c>
      <c r="J134" s="23">
        <f t="shared" si="25"/>
        <v>0</v>
      </c>
      <c r="K134" s="23">
        <f t="shared" si="26"/>
        <v>7535.6952000000001</v>
      </c>
    </row>
    <row r="135" spans="1:11" x14ac:dyDescent="0.25">
      <c r="B135" s="1" t="str">
        <f>B118</f>
        <v>C</v>
      </c>
      <c r="C135" s="23">
        <f>D118</f>
        <v>11700</v>
      </c>
      <c r="D135" s="23">
        <f t="shared" si="19"/>
        <v>11128.02</v>
      </c>
      <c r="E135" s="23">
        <f t="shared" si="20"/>
        <v>571.97999999999956</v>
      </c>
      <c r="F135" s="44">
        <f t="shared" si="21"/>
        <v>0.16</v>
      </c>
      <c r="G135" s="23">
        <f t="shared" si="22"/>
        <v>91.516799999999932</v>
      </c>
      <c r="H135" s="23">
        <f t="shared" si="23"/>
        <v>893.63</v>
      </c>
      <c r="I135" s="23">
        <f t="shared" si="24"/>
        <v>985.14679999999998</v>
      </c>
      <c r="J135" s="23">
        <f t="shared" si="25"/>
        <v>0</v>
      </c>
      <c r="K135" s="23">
        <f t="shared" si="26"/>
        <v>985.14679999999998</v>
      </c>
    </row>
    <row r="136" spans="1:11" x14ac:dyDescent="0.25">
      <c r="B136" s="1" t="str">
        <f>B119</f>
        <v>D</v>
      </c>
      <c r="C136" s="23">
        <f>D119</f>
        <v>33000</v>
      </c>
      <c r="D136" s="23">
        <f t="shared" si="19"/>
        <v>31236.5</v>
      </c>
      <c r="E136" s="23">
        <f t="shared" si="20"/>
        <v>1763.5</v>
      </c>
      <c r="F136" s="44">
        <f t="shared" si="21"/>
        <v>0.23519999999999999</v>
      </c>
      <c r="G136" s="23">
        <f t="shared" si="22"/>
        <v>414.77519999999998</v>
      </c>
      <c r="H136" s="23">
        <f t="shared" si="23"/>
        <v>5004.12</v>
      </c>
      <c r="I136" s="23">
        <f t="shared" si="24"/>
        <v>5418.8951999999999</v>
      </c>
      <c r="J136" s="23">
        <f t="shared" si="25"/>
        <v>0</v>
      </c>
      <c r="K136" s="23">
        <f t="shared" si="26"/>
        <v>5418.8951999999999</v>
      </c>
    </row>
    <row r="137" spans="1:11" x14ac:dyDescent="0.25">
      <c r="B137" s="1" t="str">
        <f>B120</f>
        <v>E (3)</v>
      </c>
      <c r="C137" s="23">
        <f>D120</f>
        <v>24300</v>
      </c>
      <c r="D137" s="23">
        <f t="shared" si="19"/>
        <v>15487.72</v>
      </c>
      <c r="E137" s="23">
        <f t="shared" si="20"/>
        <v>8812.2800000000007</v>
      </c>
      <c r="F137" s="44">
        <f t="shared" si="21"/>
        <v>0.21359999999999998</v>
      </c>
      <c r="G137" s="23">
        <f t="shared" si="22"/>
        <v>1882.3030080000001</v>
      </c>
      <c r="H137" s="23">
        <f t="shared" si="23"/>
        <v>1640.18</v>
      </c>
      <c r="I137" s="23">
        <f t="shared" si="24"/>
        <v>3522.4830080000002</v>
      </c>
      <c r="J137" s="23">
        <f t="shared" si="25"/>
        <v>0</v>
      </c>
      <c r="K137" s="23">
        <f t="shared" si="26"/>
        <v>3522.4830080000002</v>
      </c>
    </row>
    <row r="138" spans="1:11" x14ac:dyDescent="0.25">
      <c r="B138" s="1" t="str">
        <f>B121</f>
        <v>F</v>
      </c>
      <c r="C138" s="23">
        <f>D121</f>
        <v>19500</v>
      </c>
      <c r="D138" s="23">
        <f t="shared" si="19"/>
        <v>15487.72</v>
      </c>
      <c r="E138" s="23">
        <f t="shared" si="20"/>
        <v>4012.2800000000007</v>
      </c>
      <c r="F138" s="44">
        <f t="shared" si="21"/>
        <v>0.21359999999999998</v>
      </c>
      <c r="G138" s="23">
        <f t="shared" si="22"/>
        <v>857.02300800000012</v>
      </c>
      <c r="H138" s="23">
        <f t="shared" si="23"/>
        <v>1640.18</v>
      </c>
      <c r="I138" s="23">
        <f t="shared" si="24"/>
        <v>2497.2030080000004</v>
      </c>
      <c r="J138" s="23">
        <f t="shared" si="25"/>
        <v>0</v>
      </c>
      <c r="K138" s="23">
        <f t="shared" si="26"/>
        <v>2497.2030080000004</v>
      </c>
    </row>
    <row r="139" spans="1:11" x14ac:dyDescent="0.25">
      <c r="B139" s="1" t="str">
        <f>B122</f>
        <v>G (4)</v>
      </c>
      <c r="C139" s="23">
        <f>D122</f>
        <v>14250</v>
      </c>
      <c r="D139" s="23">
        <f t="shared" si="19"/>
        <v>12935.83</v>
      </c>
      <c r="E139" s="23">
        <f t="shared" si="20"/>
        <v>1314.17</v>
      </c>
      <c r="F139" s="44">
        <f t="shared" si="21"/>
        <v>0.17920000000000003</v>
      </c>
      <c r="G139" s="23">
        <f t="shared" si="22"/>
        <v>235.49926400000004</v>
      </c>
      <c r="H139" s="23">
        <f t="shared" si="23"/>
        <v>1182.8800000000001</v>
      </c>
      <c r="I139" s="23">
        <f t="shared" si="24"/>
        <v>1418.3792640000001</v>
      </c>
      <c r="J139" s="23">
        <f t="shared" si="25"/>
        <v>0</v>
      </c>
      <c r="K139" s="23">
        <f t="shared" si="26"/>
        <v>1418.3792640000001</v>
      </c>
    </row>
    <row r="140" spans="1:11" x14ac:dyDescent="0.25">
      <c r="B140" s="1" t="str">
        <f>B123</f>
        <v>H</v>
      </c>
      <c r="C140" s="23">
        <f>D123</f>
        <v>9000</v>
      </c>
      <c r="D140" s="23">
        <f t="shared" si="19"/>
        <v>6332.06</v>
      </c>
      <c r="E140" s="23">
        <f t="shared" si="20"/>
        <v>2667.9399999999996</v>
      </c>
      <c r="F140" s="44">
        <f t="shared" si="21"/>
        <v>0.10880000000000001</v>
      </c>
      <c r="G140" s="23">
        <f t="shared" si="22"/>
        <v>290.27187199999997</v>
      </c>
      <c r="H140" s="23">
        <f t="shared" si="23"/>
        <v>371.83</v>
      </c>
      <c r="I140" s="23">
        <f t="shared" si="24"/>
        <v>662.10187199999996</v>
      </c>
      <c r="J140" s="23">
        <f t="shared" si="25"/>
        <v>0</v>
      </c>
      <c r="K140" s="23">
        <f t="shared" si="26"/>
        <v>662.10187199999996</v>
      </c>
    </row>
    <row r="141" spans="1:11" x14ac:dyDescent="0.25">
      <c r="B141" s="1" t="str">
        <f>B124</f>
        <v>I</v>
      </c>
      <c r="C141" s="23">
        <f>D124</f>
        <v>7500</v>
      </c>
      <c r="D141" s="23">
        <f t="shared" si="19"/>
        <v>6332.06</v>
      </c>
      <c r="E141" s="23">
        <f t="shared" si="20"/>
        <v>1167.9399999999996</v>
      </c>
      <c r="F141" s="44">
        <f>IF(C141=0,0,(VLOOKUP(C141,impuesto_mensual,4))/100)</f>
        <v>0.10880000000000001</v>
      </c>
      <c r="G141" s="23">
        <f t="shared" si="22"/>
        <v>127.07187199999997</v>
      </c>
      <c r="H141" s="23">
        <f t="shared" si="23"/>
        <v>371.83</v>
      </c>
      <c r="I141" s="23">
        <f t="shared" si="24"/>
        <v>498.90187199999997</v>
      </c>
      <c r="J141" s="23">
        <f t="shared" si="25"/>
        <v>0</v>
      </c>
      <c r="K141" s="23">
        <f t="shared" si="26"/>
        <v>498.90187199999997</v>
      </c>
    </row>
    <row r="142" spans="1:11" x14ac:dyDescent="0.25">
      <c r="C142" s="23"/>
      <c r="D142" s="23"/>
      <c r="E142" s="23"/>
      <c r="F142" s="44"/>
      <c r="G142" s="23"/>
      <c r="H142" s="23"/>
      <c r="I142" s="23"/>
      <c r="J142" s="23"/>
      <c r="K142" s="23"/>
    </row>
    <row r="143" spans="1:11" x14ac:dyDescent="0.25">
      <c r="A143" s="43" t="s">
        <v>182</v>
      </c>
      <c r="B143" s="22"/>
      <c r="C143" s="22"/>
      <c r="D143" s="22"/>
      <c r="E143" s="22"/>
      <c r="F143" s="22"/>
      <c r="G143" s="22"/>
      <c r="H143" s="22"/>
      <c r="I143" s="22"/>
      <c r="J143" s="23"/>
      <c r="K143" s="23"/>
    </row>
    <row r="144" spans="1:11" x14ac:dyDescent="0.25">
      <c r="C144" s="23"/>
      <c r="D144" s="23"/>
      <c r="E144" s="23"/>
      <c r="F144" s="44"/>
      <c r="G144" s="23"/>
      <c r="H144" s="23"/>
      <c r="I144" s="23"/>
      <c r="J144" s="23"/>
      <c r="K144" s="23"/>
    </row>
    <row r="145" spans="1:11" ht="45" customHeight="1" x14ac:dyDescent="0.25">
      <c r="B145" s="51" t="s">
        <v>49</v>
      </c>
      <c r="C145" s="51" t="s">
        <v>78</v>
      </c>
      <c r="D145" s="51" t="s">
        <v>199</v>
      </c>
      <c r="E145" s="51" t="s">
        <v>70</v>
      </c>
      <c r="F145" s="51" t="s">
        <v>108</v>
      </c>
      <c r="G145" s="51" t="s">
        <v>110</v>
      </c>
      <c r="H145" s="51" t="str">
        <f>C131</f>
        <v>Último sueldo mensual ordinario</v>
      </c>
      <c r="I145" s="51" t="s">
        <v>112</v>
      </c>
      <c r="J145" s="23"/>
      <c r="K145" s="23"/>
    </row>
    <row r="146" spans="1:11" x14ac:dyDescent="0.25">
      <c r="B146" s="56"/>
      <c r="C146" s="56" t="s">
        <v>105</v>
      </c>
      <c r="D146" s="56" t="s">
        <v>106</v>
      </c>
      <c r="E146" s="56" t="s">
        <v>107</v>
      </c>
      <c r="F146" s="56" t="s">
        <v>109</v>
      </c>
      <c r="G146" s="56" t="s">
        <v>111</v>
      </c>
      <c r="H146" s="56" t="s">
        <v>7</v>
      </c>
      <c r="I146" s="56" t="s">
        <v>113</v>
      </c>
      <c r="J146" s="23"/>
      <c r="K146" s="23"/>
    </row>
    <row r="147" spans="1:11" x14ac:dyDescent="0.25">
      <c r="B147" s="1" t="str">
        <f t="shared" ref="B147:B155" si="27">B133</f>
        <v>A</v>
      </c>
      <c r="C147" s="23">
        <f>C116</f>
        <v>0</v>
      </c>
      <c r="D147" s="23">
        <f>IF(C147=0,0,15*E116)</f>
        <v>0</v>
      </c>
      <c r="E147" s="23">
        <f t="shared" ref="E147:E155" si="28">IF(C147-D147&lt;0,0,C147-D147)</f>
        <v>0</v>
      </c>
      <c r="F147" s="23">
        <f t="shared" ref="F147:F155" si="29">E147/365</f>
        <v>0</v>
      </c>
      <c r="G147" s="23">
        <f t="shared" ref="G147:G155" si="30">F147*30.4</f>
        <v>0</v>
      </c>
      <c r="H147" s="23">
        <f t="shared" ref="H147:H155" si="31">C133</f>
        <v>139500</v>
      </c>
      <c r="I147" s="23">
        <f t="shared" ref="I147:I155" si="32">G147+H147</f>
        <v>139500</v>
      </c>
      <c r="J147" s="23"/>
      <c r="K147" s="23"/>
    </row>
    <row r="148" spans="1:11" x14ac:dyDescent="0.25">
      <c r="B148" s="1" t="str">
        <f t="shared" si="27"/>
        <v>B</v>
      </c>
      <c r="C148" s="23">
        <f>C117</f>
        <v>55849.936643108922</v>
      </c>
      <c r="D148" s="23">
        <f>IF(C148=0,0,15*E117)</f>
        <v>1556.1</v>
      </c>
      <c r="E148" s="23">
        <f t="shared" si="28"/>
        <v>54293.836643108923</v>
      </c>
      <c r="F148" s="23">
        <f t="shared" si="29"/>
        <v>148.7502373783806</v>
      </c>
      <c r="G148" s="23">
        <f t="shared" si="30"/>
        <v>4522.0072163027698</v>
      </c>
      <c r="H148" s="23">
        <f t="shared" si="31"/>
        <v>42000</v>
      </c>
      <c r="I148" s="23">
        <f t="shared" si="32"/>
        <v>46522.007216302773</v>
      </c>
      <c r="J148" s="23"/>
      <c r="K148" s="23"/>
    </row>
    <row r="149" spans="1:11" x14ac:dyDescent="0.25">
      <c r="B149" s="1" t="str">
        <f t="shared" si="27"/>
        <v>C</v>
      </c>
      <c r="C149" s="23">
        <f>C118</f>
        <v>31398.756091327701</v>
      </c>
      <c r="D149" s="23">
        <f>IF(C149=0,0,15*E118)</f>
        <v>1556.1</v>
      </c>
      <c r="E149" s="23">
        <f t="shared" si="28"/>
        <v>29842.656091327703</v>
      </c>
      <c r="F149" s="23">
        <f t="shared" si="29"/>
        <v>81.760701620075892</v>
      </c>
      <c r="G149" s="23">
        <f t="shared" si="30"/>
        <v>2485.5253292503071</v>
      </c>
      <c r="H149" s="23">
        <f t="shared" si="31"/>
        <v>11700</v>
      </c>
      <c r="I149" s="23">
        <f t="shared" si="32"/>
        <v>14185.525329250308</v>
      </c>
      <c r="J149" s="23"/>
      <c r="K149" s="23"/>
    </row>
    <row r="150" spans="1:11" x14ac:dyDescent="0.25">
      <c r="B150" s="1" t="str">
        <f t="shared" si="27"/>
        <v>D</v>
      </c>
      <c r="C150" s="23">
        <f>C119</f>
        <v>33815.98903596458</v>
      </c>
      <c r="D150" s="23">
        <f>IF(C150=0,0,15*E119)</f>
        <v>1556.1</v>
      </c>
      <c r="E150" s="23">
        <f t="shared" si="28"/>
        <v>32259.889035964581</v>
      </c>
      <c r="F150" s="23">
        <f t="shared" si="29"/>
        <v>88.383257632779674</v>
      </c>
      <c r="G150" s="23">
        <f t="shared" si="30"/>
        <v>2686.8510320365021</v>
      </c>
      <c r="H150" s="23">
        <f t="shared" si="31"/>
        <v>33000</v>
      </c>
      <c r="I150" s="23">
        <f t="shared" si="32"/>
        <v>35686.851032036502</v>
      </c>
      <c r="J150" s="23"/>
      <c r="K150" s="23"/>
    </row>
    <row r="151" spans="1:11" x14ac:dyDescent="0.25">
      <c r="B151" s="1" t="str">
        <f t="shared" si="27"/>
        <v>E (3)</v>
      </c>
      <c r="C151" s="23">
        <f>C120</f>
        <v>25915.68061497256</v>
      </c>
      <c r="D151" s="23">
        <f>IF(C151=0,0,15*E120)</f>
        <v>1556.1</v>
      </c>
      <c r="E151" s="23">
        <f t="shared" si="28"/>
        <v>24359.580614972561</v>
      </c>
      <c r="F151" s="23">
        <f t="shared" si="29"/>
        <v>66.73857702732208</v>
      </c>
      <c r="G151" s="23">
        <f t="shared" si="30"/>
        <v>2028.852741630591</v>
      </c>
      <c r="H151" s="23">
        <f t="shared" si="31"/>
        <v>24300</v>
      </c>
      <c r="I151" s="23">
        <f t="shared" si="32"/>
        <v>26328.852741630591</v>
      </c>
      <c r="J151" s="23"/>
      <c r="K151" s="23"/>
    </row>
    <row r="152" spans="1:11" x14ac:dyDescent="0.25">
      <c r="B152" s="1" t="str">
        <f t="shared" si="27"/>
        <v>F</v>
      </c>
      <c r="C152" s="23">
        <f>C121</f>
        <v>47775.803230201833</v>
      </c>
      <c r="D152" s="23">
        <f>IF(C152=0,0,15*E121)</f>
        <v>1556.1</v>
      </c>
      <c r="E152" s="23">
        <f t="shared" si="28"/>
        <v>46219.703230201834</v>
      </c>
      <c r="F152" s="23">
        <f t="shared" si="29"/>
        <v>126.62932391836119</v>
      </c>
      <c r="G152" s="23">
        <f t="shared" si="30"/>
        <v>3849.53144711818</v>
      </c>
      <c r="H152" s="23">
        <f t="shared" si="31"/>
        <v>19500</v>
      </c>
      <c r="I152" s="23">
        <f t="shared" si="32"/>
        <v>23349.531447118181</v>
      </c>
      <c r="J152" s="23"/>
      <c r="K152" s="23"/>
    </row>
    <row r="153" spans="1:11" x14ac:dyDescent="0.25">
      <c r="B153" s="1" t="str">
        <f t="shared" si="27"/>
        <v>G (4)</v>
      </c>
      <c r="C153" s="23">
        <f>C122</f>
        <v>5537.1814386864735</v>
      </c>
      <c r="D153" s="23">
        <f>IF(C153=0,0,15*E122)</f>
        <v>1556.1</v>
      </c>
      <c r="E153" s="23">
        <f t="shared" si="28"/>
        <v>3981.0814386864736</v>
      </c>
      <c r="F153" s="23">
        <f t="shared" si="29"/>
        <v>10.907072434757461</v>
      </c>
      <c r="G153" s="23">
        <f t="shared" si="30"/>
        <v>331.5750020166268</v>
      </c>
      <c r="H153" s="23">
        <f t="shared" si="31"/>
        <v>14250</v>
      </c>
      <c r="I153" s="23">
        <f t="shared" si="32"/>
        <v>14581.575002016627</v>
      </c>
      <c r="J153" s="23"/>
      <c r="K153" s="23"/>
    </row>
    <row r="154" spans="1:11" x14ac:dyDescent="0.25">
      <c r="B154" s="1" t="str">
        <f t="shared" si="27"/>
        <v>H</v>
      </c>
      <c r="C154" s="23">
        <f>C123</f>
        <v>18166.925667575964</v>
      </c>
      <c r="D154" s="23">
        <f>IF(C154=0,0,15*E123)</f>
        <v>1556.1</v>
      </c>
      <c r="E154" s="23">
        <f t="shared" si="28"/>
        <v>16610.825667575966</v>
      </c>
      <c r="F154" s="23">
        <f t="shared" si="29"/>
        <v>45.509111418016346</v>
      </c>
      <c r="G154" s="23">
        <f t="shared" si="30"/>
        <v>1383.4769871076969</v>
      </c>
      <c r="H154" s="23">
        <f t="shared" si="31"/>
        <v>9000</v>
      </c>
      <c r="I154" s="23">
        <f t="shared" si="32"/>
        <v>10383.476987107697</v>
      </c>
      <c r="J154" s="23"/>
      <c r="K154" s="23"/>
    </row>
    <row r="155" spans="1:11" x14ac:dyDescent="0.25">
      <c r="B155" s="1" t="str">
        <f t="shared" si="27"/>
        <v>I</v>
      </c>
      <c r="C155" s="23">
        <f>C124</f>
        <v>8010.3272781619871</v>
      </c>
      <c r="D155" s="23">
        <f>IF(C155=0,0,15*E124)</f>
        <v>1556.1</v>
      </c>
      <c r="E155" s="23">
        <f t="shared" si="28"/>
        <v>6454.2272781619868</v>
      </c>
      <c r="F155" s="23">
        <f t="shared" si="29"/>
        <v>17.682814460717772</v>
      </c>
      <c r="G155" s="23">
        <f t="shared" si="30"/>
        <v>537.55755960582019</v>
      </c>
      <c r="H155" s="23">
        <f t="shared" si="31"/>
        <v>7500</v>
      </c>
      <c r="I155" s="23">
        <f t="shared" si="32"/>
        <v>8037.5575596058206</v>
      </c>
      <c r="J155" s="23"/>
      <c r="K155" s="23"/>
    </row>
    <row r="156" spans="1:11" x14ac:dyDescent="0.25">
      <c r="C156" s="81">
        <f>SUM(C147:C155)</f>
        <v>226470.6</v>
      </c>
      <c r="D156" s="23"/>
      <c r="E156" s="23"/>
      <c r="F156" s="44"/>
      <c r="G156" s="23"/>
      <c r="H156" s="23"/>
      <c r="I156" s="23"/>
      <c r="J156" s="23"/>
      <c r="K156" s="23"/>
    </row>
    <row r="157" spans="1:11" x14ac:dyDescent="0.25">
      <c r="A157" s="43" t="s">
        <v>116</v>
      </c>
      <c r="B157" s="22"/>
      <c r="C157" s="22"/>
      <c r="D157" s="22"/>
      <c r="E157" s="22"/>
      <c r="F157" s="22"/>
      <c r="G157" s="22"/>
      <c r="H157" s="22"/>
      <c r="I157" s="22"/>
      <c r="J157" s="23"/>
      <c r="K157" s="23"/>
    </row>
    <row r="158" spans="1:11" x14ac:dyDescent="0.25">
      <c r="C158" s="23"/>
      <c r="D158" s="23"/>
      <c r="E158" s="23"/>
      <c r="F158" s="44"/>
      <c r="G158" s="23"/>
      <c r="H158" s="23"/>
      <c r="I158" s="23"/>
      <c r="J158" s="23"/>
      <c r="K158" s="23"/>
    </row>
    <row r="159" spans="1:11" ht="45" x14ac:dyDescent="0.25">
      <c r="B159" s="51" t="s">
        <v>49</v>
      </c>
      <c r="C159" s="51" t="str">
        <f>I145</f>
        <v>Base gravable opcional</v>
      </c>
      <c r="D159" s="51" t="s">
        <v>77</v>
      </c>
      <c r="E159" s="51" t="s">
        <v>71</v>
      </c>
      <c r="F159" s="51" t="s">
        <v>76</v>
      </c>
      <c r="G159" s="51" t="s">
        <v>75</v>
      </c>
      <c r="H159" s="51" t="s">
        <v>74</v>
      </c>
      <c r="I159" s="51" t="s">
        <v>73</v>
      </c>
      <c r="J159" s="51" t="s">
        <v>72</v>
      </c>
      <c r="K159" s="51" t="s">
        <v>119</v>
      </c>
    </row>
    <row r="160" spans="1:11" x14ac:dyDescent="0.25">
      <c r="B160" s="56"/>
      <c r="C160" s="57" t="s">
        <v>114</v>
      </c>
      <c r="D160" s="57" t="s">
        <v>8</v>
      </c>
      <c r="E160" s="57" t="s">
        <v>99</v>
      </c>
      <c r="F160" s="57" t="s">
        <v>23</v>
      </c>
      <c r="G160" s="57" t="s">
        <v>100</v>
      </c>
      <c r="H160" s="57" t="s">
        <v>101</v>
      </c>
      <c r="I160" s="57" t="s">
        <v>102</v>
      </c>
      <c r="J160" s="57" t="s">
        <v>103</v>
      </c>
      <c r="K160" s="57" t="s">
        <v>115</v>
      </c>
    </row>
    <row r="161" spans="1:11" x14ac:dyDescent="0.25">
      <c r="B161" s="1" t="str">
        <f t="shared" ref="B161:B169" si="33">B147</f>
        <v>A</v>
      </c>
      <c r="C161" s="23">
        <f t="shared" ref="C161:C169" si="34">I147</f>
        <v>139500</v>
      </c>
      <c r="D161" s="23">
        <f t="shared" ref="D161:D169" si="35">IF(C161=0,0,VLOOKUP(C161,impuesto_mensual,1))</f>
        <v>125325.21</v>
      </c>
      <c r="E161" s="23">
        <f t="shared" ref="E161:E169" si="36">C161-D161</f>
        <v>14174.789999999994</v>
      </c>
      <c r="F161" s="44">
        <f t="shared" ref="F161:F169" si="37">IF(C161=0,0,(VLOOKUP(C161,impuesto_mensual,4))/100)</f>
        <v>0.34</v>
      </c>
      <c r="G161" s="23">
        <f>E161*F161</f>
        <v>4819.4285999999984</v>
      </c>
      <c r="H161" s="23">
        <f t="shared" ref="H161:H169" si="38">IF(C161=0,0,VLOOKUP(C161,impuesto_mensual,3))</f>
        <v>32691.18</v>
      </c>
      <c r="I161" s="23">
        <f t="shared" ref="I161:I169" si="39">G161+H161</f>
        <v>37510.6086</v>
      </c>
      <c r="J161" s="23">
        <f t="shared" ref="J161:J167" si="40">IF(C161=0,0,VLOOKUP(C161,crédito_mensual,3))</f>
        <v>0</v>
      </c>
      <c r="K161" s="23">
        <f t="shared" ref="K161:K169" si="41">I161-J161</f>
        <v>37510.6086</v>
      </c>
    </row>
    <row r="162" spans="1:11" x14ac:dyDescent="0.25">
      <c r="B162" s="1" t="str">
        <f t="shared" si="33"/>
        <v>B</v>
      </c>
      <c r="C162" s="23">
        <f t="shared" si="34"/>
        <v>46522.007216302773</v>
      </c>
      <c r="D162" s="23">
        <f t="shared" si="35"/>
        <v>31236.5</v>
      </c>
      <c r="E162" s="23">
        <f t="shared" si="36"/>
        <v>15285.507216302773</v>
      </c>
      <c r="F162" s="44">
        <f t="shared" si="37"/>
        <v>0.23519999999999999</v>
      </c>
      <c r="G162" s="23">
        <f t="shared" ref="G162:G169" si="42">E162*F162</f>
        <v>3595.1512972744122</v>
      </c>
      <c r="H162" s="23">
        <f t="shared" si="38"/>
        <v>5004.12</v>
      </c>
      <c r="I162" s="23">
        <f t="shared" si="39"/>
        <v>8599.2712972744121</v>
      </c>
      <c r="J162" s="23">
        <f t="shared" si="40"/>
        <v>0</v>
      </c>
      <c r="K162" s="23">
        <f t="shared" si="41"/>
        <v>8599.2712972744121</v>
      </c>
    </row>
    <row r="163" spans="1:11" x14ac:dyDescent="0.25">
      <c r="B163" s="1" t="str">
        <f t="shared" si="33"/>
        <v>C</v>
      </c>
      <c r="C163" s="23">
        <f t="shared" si="34"/>
        <v>14185.525329250308</v>
      </c>
      <c r="D163" s="23">
        <f t="shared" si="35"/>
        <v>12935.83</v>
      </c>
      <c r="E163" s="23">
        <f t="shared" si="36"/>
        <v>1249.6953292503076</v>
      </c>
      <c r="F163" s="44">
        <f t="shared" si="37"/>
        <v>0.17920000000000003</v>
      </c>
      <c r="G163" s="23">
        <f t="shared" si="42"/>
        <v>223.94540300165517</v>
      </c>
      <c r="H163" s="23">
        <f t="shared" si="38"/>
        <v>1182.8800000000001</v>
      </c>
      <c r="I163" s="23">
        <f t="shared" si="39"/>
        <v>1406.8254030016553</v>
      </c>
      <c r="J163" s="23">
        <f t="shared" si="40"/>
        <v>0</v>
      </c>
      <c r="K163" s="23">
        <f t="shared" si="41"/>
        <v>1406.8254030016553</v>
      </c>
    </row>
    <row r="164" spans="1:11" x14ac:dyDescent="0.25">
      <c r="B164" s="1" t="str">
        <f t="shared" si="33"/>
        <v>D</v>
      </c>
      <c r="C164" s="23">
        <f t="shared" si="34"/>
        <v>35686.851032036502</v>
      </c>
      <c r="D164" s="23">
        <f t="shared" si="35"/>
        <v>31236.5</v>
      </c>
      <c r="E164" s="23">
        <f t="shared" si="36"/>
        <v>4450.3510320365021</v>
      </c>
      <c r="F164" s="44">
        <f t="shared" si="37"/>
        <v>0.23519999999999999</v>
      </c>
      <c r="G164" s="23">
        <f t="shared" si="42"/>
        <v>1046.7225627349853</v>
      </c>
      <c r="H164" s="23">
        <f t="shared" si="38"/>
        <v>5004.12</v>
      </c>
      <c r="I164" s="23">
        <f t="shared" si="39"/>
        <v>6050.8425627349852</v>
      </c>
      <c r="J164" s="23">
        <f t="shared" si="40"/>
        <v>0</v>
      </c>
      <c r="K164" s="23">
        <f t="shared" si="41"/>
        <v>6050.8425627349852</v>
      </c>
    </row>
    <row r="165" spans="1:11" x14ac:dyDescent="0.25">
      <c r="B165" s="1" t="str">
        <f t="shared" si="33"/>
        <v>E (3)</v>
      </c>
      <c r="C165" s="23">
        <f t="shared" si="34"/>
        <v>26328.852741630591</v>
      </c>
      <c r="D165" s="23">
        <f t="shared" si="35"/>
        <v>15487.72</v>
      </c>
      <c r="E165" s="23">
        <f t="shared" si="36"/>
        <v>10841.132741630592</v>
      </c>
      <c r="F165" s="44">
        <f t="shared" si="37"/>
        <v>0.21359999999999998</v>
      </c>
      <c r="G165" s="23">
        <f t="shared" si="42"/>
        <v>2315.6659536122943</v>
      </c>
      <c r="H165" s="23">
        <f t="shared" si="38"/>
        <v>1640.18</v>
      </c>
      <c r="I165" s="23">
        <f t="shared" si="39"/>
        <v>3955.8459536122946</v>
      </c>
      <c r="J165" s="23">
        <f t="shared" si="40"/>
        <v>0</v>
      </c>
      <c r="K165" s="23">
        <f t="shared" si="41"/>
        <v>3955.8459536122946</v>
      </c>
    </row>
    <row r="166" spans="1:11" x14ac:dyDescent="0.25">
      <c r="B166" s="1" t="str">
        <f t="shared" si="33"/>
        <v>F</v>
      </c>
      <c r="C166" s="23">
        <f t="shared" si="34"/>
        <v>23349.531447118181</v>
      </c>
      <c r="D166" s="23">
        <f t="shared" si="35"/>
        <v>15487.72</v>
      </c>
      <c r="E166" s="23">
        <f t="shared" si="36"/>
        <v>7861.8114471181816</v>
      </c>
      <c r="F166" s="44">
        <f t="shared" si="37"/>
        <v>0.21359999999999998</v>
      </c>
      <c r="G166" s="23">
        <f t="shared" si="42"/>
        <v>1679.2829251044434</v>
      </c>
      <c r="H166" s="23">
        <f t="shared" si="38"/>
        <v>1640.18</v>
      </c>
      <c r="I166" s="23">
        <f t="shared" si="39"/>
        <v>3319.4629251044435</v>
      </c>
      <c r="J166" s="23">
        <f t="shared" si="40"/>
        <v>0</v>
      </c>
      <c r="K166" s="23">
        <f t="shared" si="41"/>
        <v>3319.4629251044435</v>
      </c>
    </row>
    <row r="167" spans="1:11" x14ac:dyDescent="0.25">
      <c r="B167" s="1" t="str">
        <f t="shared" si="33"/>
        <v>G (4)</v>
      </c>
      <c r="C167" s="23">
        <f t="shared" si="34"/>
        <v>14581.575002016627</v>
      </c>
      <c r="D167" s="23">
        <f t="shared" si="35"/>
        <v>12935.83</v>
      </c>
      <c r="E167" s="23">
        <f t="shared" si="36"/>
        <v>1645.745002016627</v>
      </c>
      <c r="F167" s="44">
        <f t="shared" si="37"/>
        <v>0.17920000000000003</v>
      </c>
      <c r="G167" s="23">
        <f t="shared" si="42"/>
        <v>294.9175043613796</v>
      </c>
      <c r="H167" s="23">
        <f t="shared" si="38"/>
        <v>1182.8800000000001</v>
      </c>
      <c r="I167" s="23">
        <f t="shared" si="39"/>
        <v>1477.7975043613797</v>
      </c>
      <c r="J167" s="23">
        <f t="shared" si="40"/>
        <v>0</v>
      </c>
      <c r="K167" s="23">
        <f t="shared" si="41"/>
        <v>1477.7975043613797</v>
      </c>
    </row>
    <row r="168" spans="1:11" x14ac:dyDescent="0.25">
      <c r="B168" s="1" t="str">
        <f t="shared" si="33"/>
        <v>H</v>
      </c>
      <c r="C168" s="23">
        <f t="shared" si="34"/>
        <v>10383.476987107697</v>
      </c>
      <c r="D168" s="23">
        <f t="shared" si="35"/>
        <v>6332.06</v>
      </c>
      <c r="E168" s="23">
        <f t="shared" si="36"/>
        <v>4051.4169871076965</v>
      </c>
      <c r="F168" s="44">
        <f t="shared" si="37"/>
        <v>0.10880000000000001</v>
      </c>
      <c r="G168" s="23">
        <f t="shared" si="42"/>
        <v>440.79416819731739</v>
      </c>
      <c r="H168" s="23">
        <f t="shared" si="38"/>
        <v>371.83</v>
      </c>
      <c r="I168" s="23">
        <f t="shared" si="39"/>
        <v>812.62416819731743</v>
      </c>
      <c r="J168" s="23">
        <f>IF(C168=0,0,VLOOKUP(C168,crédito_mensual,3))</f>
        <v>0</v>
      </c>
      <c r="K168" s="23">
        <f t="shared" si="41"/>
        <v>812.62416819731743</v>
      </c>
    </row>
    <row r="169" spans="1:11" x14ac:dyDescent="0.25">
      <c r="B169" s="1" t="str">
        <f t="shared" si="33"/>
        <v>I</v>
      </c>
      <c r="C169" s="23">
        <f t="shared" si="34"/>
        <v>8037.5575596058206</v>
      </c>
      <c r="D169" s="23">
        <f t="shared" si="35"/>
        <v>6332.06</v>
      </c>
      <c r="E169" s="23">
        <f t="shared" si="36"/>
        <v>1705.4975596058202</v>
      </c>
      <c r="F169" s="44">
        <f t="shared" si="37"/>
        <v>0.10880000000000001</v>
      </c>
      <c r="G169" s="23">
        <f t="shared" si="42"/>
        <v>185.55813448511324</v>
      </c>
      <c r="H169" s="23">
        <f t="shared" si="38"/>
        <v>371.83</v>
      </c>
      <c r="I169" s="23">
        <f t="shared" si="39"/>
        <v>557.38813448511326</v>
      </c>
      <c r="J169" s="23">
        <f>IF(C169=0,0,VLOOKUP(C169,crédito_mensual,3))</f>
        <v>0</v>
      </c>
      <c r="K169" s="23">
        <f t="shared" si="41"/>
        <v>557.38813448511326</v>
      </c>
    </row>
    <row r="170" spans="1:11" x14ac:dyDescent="0.25">
      <c r="C170" s="23"/>
      <c r="D170" s="23"/>
      <c r="E170" s="23"/>
      <c r="F170" s="44"/>
      <c r="G170" s="23"/>
      <c r="H170" s="23"/>
      <c r="I170" s="23"/>
      <c r="J170" s="23"/>
      <c r="K170" s="23"/>
    </row>
    <row r="171" spans="1:11" x14ac:dyDescent="0.25">
      <c r="A171" s="43" t="s">
        <v>117</v>
      </c>
      <c r="B171" s="22"/>
      <c r="C171" s="22"/>
      <c r="D171" s="22"/>
      <c r="E171" s="22"/>
      <c r="F171" s="22"/>
      <c r="G171" s="22"/>
      <c r="H171" s="22"/>
      <c r="I171" s="22"/>
      <c r="J171" s="23"/>
      <c r="K171" s="23"/>
    </row>
    <row r="172" spans="1:11" x14ac:dyDescent="0.25">
      <c r="C172" s="23"/>
      <c r="D172" s="23"/>
      <c r="E172" s="23"/>
      <c r="F172" s="44"/>
      <c r="G172" s="23"/>
      <c r="H172" s="23"/>
      <c r="I172" s="23"/>
      <c r="J172" s="23"/>
      <c r="K172" s="23"/>
    </row>
    <row r="173" spans="1:11" ht="60" x14ac:dyDescent="0.25">
      <c r="B173" s="51" t="s">
        <v>49</v>
      </c>
      <c r="C173" s="51" t="s">
        <v>118</v>
      </c>
      <c r="D173" s="51" t="s">
        <v>119</v>
      </c>
      <c r="E173" s="101" t="s">
        <v>71</v>
      </c>
      <c r="F173" s="51" t="s">
        <v>110</v>
      </c>
      <c r="G173" s="51" t="s">
        <v>123</v>
      </c>
      <c r="H173" s="51" t="s">
        <v>70</v>
      </c>
      <c r="I173" s="51" t="s">
        <v>131</v>
      </c>
      <c r="J173" s="51" t="s">
        <v>162</v>
      </c>
      <c r="K173" s="51" t="s">
        <v>228</v>
      </c>
    </row>
    <row r="174" spans="1:11" x14ac:dyDescent="0.25">
      <c r="B174" s="56"/>
      <c r="C174" s="57" t="s">
        <v>44</v>
      </c>
      <c r="D174" s="57" t="s">
        <v>120</v>
      </c>
      <c r="E174" s="56" t="s">
        <v>121</v>
      </c>
      <c r="F174" s="56" t="s">
        <v>122</v>
      </c>
      <c r="G174" s="56" t="s">
        <v>124</v>
      </c>
      <c r="H174" s="58" t="s">
        <v>129</v>
      </c>
      <c r="I174" s="56" t="s">
        <v>125</v>
      </c>
      <c r="J174" s="57" t="s">
        <v>44</v>
      </c>
      <c r="K174" s="57" t="s">
        <v>177</v>
      </c>
    </row>
    <row r="175" spans="1:11" x14ac:dyDescent="0.25">
      <c r="B175" s="1" t="str">
        <f t="shared" ref="B175:B183" si="43">B161</f>
        <v>A</v>
      </c>
      <c r="C175" s="23">
        <f t="shared" ref="C175:C183" si="44">K133</f>
        <v>37510.6086</v>
      </c>
      <c r="D175" s="23">
        <f>K161</f>
        <v>37510.6086</v>
      </c>
      <c r="E175" s="23">
        <f>D175-C175</f>
        <v>0</v>
      </c>
      <c r="F175" s="23">
        <f>G147</f>
        <v>0</v>
      </c>
      <c r="G175" s="45">
        <f>IF(F175=0,0,E175/F175)</f>
        <v>0</v>
      </c>
      <c r="H175" s="23">
        <f>E147</f>
        <v>0</v>
      </c>
      <c r="I175" s="23">
        <f>G175*H175</f>
        <v>0</v>
      </c>
      <c r="J175" s="23">
        <f>K133</f>
        <v>37510.6086</v>
      </c>
      <c r="K175" s="23">
        <f>I175+J175</f>
        <v>37510.6086</v>
      </c>
    </row>
    <row r="176" spans="1:11" x14ac:dyDescent="0.25">
      <c r="B176" s="1" t="str">
        <f t="shared" si="43"/>
        <v>B</v>
      </c>
      <c r="C176" s="23">
        <f t="shared" si="44"/>
        <v>7535.6952000000001</v>
      </c>
      <c r="D176" s="23">
        <f t="shared" ref="D176:D183" si="45">K162</f>
        <v>8599.2712972744121</v>
      </c>
      <c r="E176" s="23">
        <f t="shared" ref="E176:E183" si="46">D176-C176</f>
        <v>1063.5760972744119</v>
      </c>
      <c r="F176" s="23">
        <f t="shared" ref="F176:F183" si="47">G148</f>
        <v>4522.0072163027698</v>
      </c>
      <c r="G176" s="45">
        <f t="shared" ref="G176:G183" si="48">IF(F176=0,0,E176/F176)</f>
        <v>0.2352000000000001</v>
      </c>
      <c r="H176" s="23">
        <f t="shared" ref="H176:H182" si="49">E148</f>
        <v>54293.836643108923</v>
      </c>
      <c r="I176" s="23">
        <f t="shared" ref="I176:I183" si="50">G176*H176</f>
        <v>12769.910378459224</v>
      </c>
      <c r="J176" s="23">
        <f>K134</f>
        <v>7535.6952000000001</v>
      </c>
      <c r="K176" s="23">
        <f t="shared" ref="K176:K183" si="51">I176+J176</f>
        <v>20305.605578459224</v>
      </c>
    </row>
    <row r="177" spans="1:11" x14ac:dyDescent="0.25">
      <c r="B177" s="1" t="str">
        <f t="shared" si="43"/>
        <v>C</v>
      </c>
      <c r="C177" s="23">
        <f t="shared" si="44"/>
        <v>985.14679999999998</v>
      </c>
      <c r="D177" s="23">
        <f t="shared" si="45"/>
        <v>1406.8254030016553</v>
      </c>
      <c r="E177" s="23">
        <f t="shared" si="46"/>
        <v>421.67860300165535</v>
      </c>
      <c r="F177" s="23">
        <f>G149</f>
        <v>2485.5253292503071</v>
      </c>
      <c r="G177" s="45">
        <f t="shared" si="48"/>
        <v>0.16965371386049949</v>
      </c>
      <c r="H177" s="23">
        <f t="shared" si="49"/>
        <v>29842.656091327703</v>
      </c>
      <c r="I177" s="23">
        <f t="shared" si="50"/>
        <v>5062.9174373554024</v>
      </c>
      <c r="J177" s="23">
        <f t="shared" ref="J176:J183" si="52">K135</f>
        <v>985.14679999999998</v>
      </c>
      <c r="K177" s="23">
        <f t="shared" si="51"/>
        <v>6048.0642373554019</v>
      </c>
    </row>
    <row r="178" spans="1:11" x14ac:dyDescent="0.25">
      <c r="B178" s="1" t="str">
        <f t="shared" si="43"/>
        <v>D</v>
      </c>
      <c r="C178" s="23">
        <f t="shared" si="44"/>
        <v>5418.8951999999999</v>
      </c>
      <c r="D178" s="23">
        <f t="shared" si="45"/>
        <v>6050.8425627349852</v>
      </c>
      <c r="E178" s="23">
        <f t="shared" si="46"/>
        <v>631.94736273498529</v>
      </c>
      <c r="F178" s="23">
        <f t="shared" si="47"/>
        <v>2686.8510320365021</v>
      </c>
      <c r="G178" s="45">
        <f t="shared" si="48"/>
        <v>0.23519999999999999</v>
      </c>
      <c r="H178" s="23">
        <f t="shared" si="49"/>
        <v>32259.889035964581</v>
      </c>
      <c r="I178" s="23">
        <f t="shared" si="50"/>
        <v>7587.5259012588695</v>
      </c>
      <c r="J178" s="23">
        <f t="shared" si="52"/>
        <v>5418.8951999999999</v>
      </c>
      <c r="K178" s="23">
        <f t="shared" si="51"/>
        <v>13006.421101258869</v>
      </c>
    </row>
    <row r="179" spans="1:11" x14ac:dyDescent="0.25">
      <c r="B179" s="1" t="str">
        <f t="shared" si="43"/>
        <v>E (3)</v>
      </c>
      <c r="C179" s="23">
        <f t="shared" si="44"/>
        <v>3522.4830080000002</v>
      </c>
      <c r="D179" s="23">
        <f t="shared" si="45"/>
        <v>3955.8459536122946</v>
      </c>
      <c r="E179" s="23">
        <f t="shared" si="46"/>
        <v>433.36294561229442</v>
      </c>
      <c r="F179" s="23">
        <f t="shared" si="47"/>
        <v>2028.852741630591</v>
      </c>
      <c r="G179" s="45">
        <f t="shared" si="48"/>
        <v>0.2136000000000001</v>
      </c>
      <c r="H179" s="23">
        <f t="shared" si="49"/>
        <v>24359.580614972561</v>
      </c>
      <c r="I179" s="23">
        <f t="shared" si="50"/>
        <v>5203.2064193581418</v>
      </c>
      <c r="J179" s="23">
        <f t="shared" si="52"/>
        <v>3522.4830080000002</v>
      </c>
      <c r="K179" s="23">
        <f t="shared" si="51"/>
        <v>8725.689427358142</v>
      </c>
    </row>
    <row r="180" spans="1:11" x14ac:dyDescent="0.25">
      <c r="B180" s="1" t="str">
        <f t="shared" si="43"/>
        <v>F</v>
      </c>
      <c r="C180" s="23">
        <f t="shared" si="44"/>
        <v>2497.2030080000004</v>
      </c>
      <c r="D180" s="23">
        <f t="shared" si="45"/>
        <v>3319.4629251044435</v>
      </c>
      <c r="E180" s="23">
        <f t="shared" si="46"/>
        <v>822.25991710444305</v>
      </c>
      <c r="F180" s="23">
        <f t="shared" si="47"/>
        <v>3849.53144711818</v>
      </c>
      <c r="G180" s="45">
        <f t="shared" si="48"/>
        <v>0.21359999999999996</v>
      </c>
      <c r="H180" s="23">
        <f t="shared" si="49"/>
        <v>46219.703230201834</v>
      </c>
      <c r="I180" s="23">
        <f t="shared" si="50"/>
        <v>9872.5286099711102</v>
      </c>
      <c r="J180" s="23">
        <f t="shared" si="52"/>
        <v>2497.2030080000004</v>
      </c>
      <c r="K180" s="23">
        <f t="shared" si="51"/>
        <v>12369.731617971111</v>
      </c>
    </row>
    <row r="181" spans="1:11" x14ac:dyDescent="0.25">
      <c r="B181" s="1" t="str">
        <f t="shared" si="43"/>
        <v>G (4)</v>
      </c>
      <c r="C181" s="23">
        <f t="shared" si="44"/>
        <v>1418.3792640000001</v>
      </c>
      <c r="D181" s="23">
        <f t="shared" si="45"/>
        <v>1477.7975043613797</v>
      </c>
      <c r="E181" s="23">
        <f t="shared" si="46"/>
        <v>59.418240361379503</v>
      </c>
      <c r="F181" s="23">
        <f t="shared" si="47"/>
        <v>331.5750020166268</v>
      </c>
      <c r="G181" s="45">
        <f t="shared" si="48"/>
        <v>0.17919999999999994</v>
      </c>
      <c r="H181" s="23">
        <f t="shared" si="49"/>
        <v>3981.0814386864736</v>
      </c>
      <c r="I181" s="23">
        <f t="shared" si="50"/>
        <v>713.40979381261582</v>
      </c>
      <c r="J181" s="23">
        <f t="shared" si="52"/>
        <v>1418.3792640000001</v>
      </c>
      <c r="K181" s="23">
        <f t="shared" si="51"/>
        <v>2131.7890578126162</v>
      </c>
    </row>
    <row r="182" spans="1:11" x14ac:dyDescent="0.25">
      <c r="B182" s="1" t="str">
        <f t="shared" si="43"/>
        <v>H</v>
      </c>
      <c r="C182" s="23">
        <f t="shared" si="44"/>
        <v>662.10187199999996</v>
      </c>
      <c r="D182" s="23">
        <f t="shared" si="45"/>
        <v>812.62416819731743</v>
      </c>
      <c r="E182" s="23">
        <f t="shared" si="46"/>
        <v>150.52229619731747</v>
      </c>
      <c r="F182" s="23">
        <f t="shared" si="47"/>
        <v>1383.4769871076969</v>
      </c>
      <c r="G182" s="45">
        <f t="shared" si="48"/>
        <v>0.10880000000000004</v>
      </c>
      <c r="H182" s="23">
        <f t="shared" si="49"/>
        <v>16610.825667575966</v>
      </c>
      <c r="I182" s="23">
        <f t="shared" si="50"/>
        <v>1807.2578326322657</v>
      </c>
      <c r="J182" s="23">
        <f t="shared" si="52"/>
        <v>662.10187199999996</v>
      </c>
      <c r="K182" s="23">
        <f t="shared" si="51"/>
        <v>2469.3597046322657</v>
      </c>
    </row>
    <row r="183" spans="1:11" x14ac:dyDescent="0.25">
      <c r="B183" s="1" t="str">
        <f t="shared" si="43"/>
        <v>I</v>
      </c>
      <c r="C183" s="23">
        <f t="shared" si="44"/>
        <v>498.90187199999997</v>
      </c>
      <c r="D183" s="23">
        <f t="shared" si="45"/>
        <v>557.38813448511326</v>
      </c>
      <c r="E183" s="23">
        <f t="shared" si="46"/>
        <v>58.486262485113286</v>
      </c>
      <c r="F183" s="23">
        <f t="shared" si="47"/>
        <v>537.55755960582019</v>
      </c>
      <c r="G183" s="45">
        <f t="shared" si="48"/>
        <v>0.10880000000000009</v>
      </c>
      <c r="H183" s="23">
        <f>E155</f>
        <v>6454.2272781619868</v>
      </c>
      <c r="I183" s="23">
        <f t="shared" si="50"/>
        <v>702.21992786402473</v>
      </c>
      <c r="J183" s="23">
        <f t="shared" si="52"/>
        <v>498.90187199999997</v>
      </c>
      <c r="K183" s="23">
        <f t="shared" si="51"/>
        <v>1201.1217998640248</v>
      </c>
    </row>
    <row r="184" spans="1:11" x14ac:dyDescent="0.25">
      <c r="C184" s="23"/>
      <c r="D184" s="23"/>
      <c r="E184" s="23"/>
      <c r="F184" s="44"/>
      <c r="G184" s="23"/>
      <c r="H184" s="23"/>
      <c r="I184" s="23"/>
      <c r="J184" s="23"/>
      <c r="K184" s="23"/>
    </row>
    <row r="185" spans="1:11" x14ac:dyDescent="0.25">
      <c r="C185" s="23"/>
      <c r="D185" s="23"/>
      <c r="E185" s="23"/>
      <c r="F185" s="44"/>
      <c r="G185" s="23"/>
      <c r="H185" s="23"/>
      <c r="I185" s="23"/>
      <c r="J185" s="23"/>
      <c r="K185" s="23"/>
    </row>
    <row r="186" spans="1:11" ht="16.5" thickBot="1" x14ac:dyDescent="0.3">
      <c r="A186" s="41" t="s">
        <v>126</v>
      </c>
      <c r="B186" s="42"/>
      <c r="C186" s="42"/>
      <c r="D186" s="42"/>
      <c r="E186" s="42"/>
      <c r="F186" s="42"/>
      <c r="G186" s="42"/>
      <c r="H186" s="42"/>
      <c r="I186" s="42"/>
    </row>
    <row r="187" spans="1:11" ht="16.5" thickTop="1" x14ac:dyDescent="0.25"/>
    <row r="188" spans="1:11" ht="30" x14ac:dyDescent="0.25">
      <c r="B188" s="51" t="s">
        <v>49</v>
      </c>
      <c r="C188" s="51" t="s">
        <v>163</v>
      </c>
      <c r="D188" s="51" t="s">
        <v>164</v>
      </c>
      <c r="E188" s="51" t="s">
        <v>172</v>
      </c>
      <c r="F188" s="51" t="s">
        <v>165</v>
      </c>
    </row>
    <row r="189" spans="1:11" x14ac:dyDescent="0.25">
      <c r="B189" s="57"/>
      <c r="C189" s="57" t="s">
        <v>7</v>
      </c>
      <c r="D189" s="57" t="s">
        <v>44</v>
      </c>
      <c r="E189" s="57" t="s">
        <v>106</v>
      </c>
      <c r="F189" s="56" t="s">
        <v>191</v>
      </c>
    </row>
    <row r="190" spans="1:11" x14ac:dyDescent="0.25">
      <c r="B190" s="1" t="str">
        <f t="shared" ref="B190:B198" si="53">B175</f>
        <v>A</v>
      </c>
      <c r="C190" s="23">
        <f t="shared" ref="C190:C198" si="54">C133</f>
        <v>139500</v>
      </c>
      <c r="D190" s="23">
        <f>I98</f>
        <v>0</v>
      </c>
      <c r="E190" s="23">
        <f>D147</f>
        <v>0</v>
      </c>
      <c r="F190" s="23">
        <f t="shared" ref="F190:F198" si="55">C190+D190-E190</f>
        <v>139500</v>
      </c>
    </row>
    <row r="191" spans="1:11" x14ac:dyDescent="0.25">
      <c r="B191" s="1" t="str">
        <f t="shared" si="53"/>
        <v>B</v>
      </c>
      <c r="C191" s="23">
        <f t="shared" si="54"/>
        <v>42000</v>
      </c>
      <c r="D191" s="23">
        <f>I99</f>
        <v>55849.936643108922</v>
      </c>
      <c r="E191" s="23">
        <f t="shared" ref="E191:E198" si="56">D148</f>
        <v>1556.1</v>
      </c>
      <c r="F191" s="23">
        <f t="shared" si="55"/>
        <v>96293.836643108923</v>
      </c>
    </row>
    <row r="192" spans="1:11" x14ac:dyDescent="0.25">
      <c r="B192" s="1" t="str">
        <f t="shared" si="53"/>
        <v>C</v>
      </c>
      <c r="C192" s="23">
        <f t="shared" si="54"/>
        <v>11700</v>
      </c>
      <c r="D192" s="23">
        <f>I100</f>
        <v>31398.756091327701</v>
      </c>
      <c r="E192" s="23">
        <f t="shared" si="56"/>
        <v>1556.1</v>
      </c>
      <c r="F192" s="23">
        <f t="shared" si="55"/>
        <v>41542.656091327699</v>
      </c>
    </row>
    <row r="193" spans="2:11" x14ac:dyDescent="0.25">
      <c r="B193" s="1" t="str">
        <f t="shared" si="53"/>
        <v>D</v>
      </c>
      <c r="C193" s="23">
        <f t="shared" si="54"/>
        <v>33000</v>
      </c>
      <c r="D193" s="23">
        <f>I101</f>
        <v>33815.98903596458</v>
      </c>
      <c r="E193" s="23">
        <f t="shared" si="56"/>
        <v>1556.1</v>
      </c>
      <c r="F193" s="23">
        <f t="shared" si="55"/>
        <v>65259.889035964581</v>
      </c>
    </row>
    <row r="194" spans="2:11" x14ac:dyDescent="0.25">
      <c r="B194" s="1" t="str">
        <f t="shared" si="53"/>
        <v>E (3)</v>
      </c>
      <c r="C194" s="23">
        <f t="shared" si="54"/>
        <v>24300</v>
      </c>
      <c r="D194" s="23">
        <f>I102</f>
        <v>25915.68061497256</v>
      </c>
      <c r="E194" s="23">
        <f t="shared" si="56"/>
        <v>1556.1</v>
      </c>
      <c r="F194" s="23">
        <f t="shared" si="55"/>
        <v>48659.580614972561</v>
      </c>
    </row>
    <row r="195" spans="2:11" x14ac:dyDescent="0.25">
      <c r="B195" s="1" t="str">
        <f t="shared" si="53"/>
        <v>F</v>
      </c>
      <c r="C195" s="23">
        <f t="shared" si="54"/>
        <v>19500</v>
      </c>
      <c r="D195" s="23">
        <f>I103</f>
        <v>47775.803230201833</v>
      </c>
      <c r="E195" s="23">
        <f t="shared" si="56"/>
        <v>1556.1</v>
      </c>
      <c r="F195" s="23">
        <f t="shared" si="55"/>
        <v>65719.70323020182</v>
      </c>
    </row>
    <row r="196" spans="2:11" x14ac:dyDescent="0.25">
      <c r="B196" s="1" t="str">
        <f t="shared" si="53"/>
        <v>G (4)</v>
      </c>
      <c r="C196" s="23">
        <f t="shared" si="54"/>
        <v>14250</v>
      </c>
      <c r="D196" s="23">
        <f>I104</f>
        <v>5537.1814386864735</v>
      </c>
      <c r="E196" s="23">
        <f t="shared" si="56"/>
        <v>1556.1</v>
      </c>
      <c r="F196" s="23">
        <f t="shared" si="55"/>
        <v>18231.081438686473</v>
      </c>
    </row>
    <row r="197" spans="2:11" x14ac:dyDescent="0.25">
      <c r="B197" s="1" t="str">
        <f t="shared" si="53"/>
        <v>H</v>
      </c>
      <c r="C197" s="23">
        <f t="shared" si="54"/>
        <v>9000</v>
      </c>
      <c r="D197" s="23">
        <f>I105</f>
        <v>18166.925667575964</v>
      </c>
      <c r="E197" s="23">
        <f t="shared" si="56"/>
        <v>1556.1</v>
      </c>
      <c r="F197" s="23">
        <f t="shared" si="55"/>
        <v>25610.825667575966</v>
      </c>
    </row>
    <row r="198" spans="2:11" x14ac:dyDescent="0.25">
      <c r="B198" s="1" t="str">
        <f t="shared" si="53"/>
        <v>I</v>
      </c>
      <c r="C198" s="23">
        <f t="shared" si="54"/>
        <v>7500</v>
      </c>
      <c r="D198" s="23">
        <f>I106</f>
        <v>8010.3272781619871</v>
      </c>
      <c r="E198" s="23">
        <f t="shared" si="56"/>
        <v>1556.1</v>
      </c>
      <c r="F198" s="23">
        <f t="shared" si="55"/>
        <v>13954.227278161987</v>
      </c>
    </row>
    <row r="200" spans="2:11" ht="30" x14ac:dyDescent="0.25">
      <c r="B200" s="51" t="s">
        <v>49</v>
      </c>
      <c r="C200" s="101" t="s">
        <v>70</v>
      </c>
      <c r="D200" s="51" t="s">
        <v>77</v>
      </c>
      <c r="E200" s="51" t="s">
        <v>71</v>
      </c>
      <c r="F200" s="51" t="s">
        <v>76</v>
      </c>
      <c r="G200" s="51" t="s">
        <v>75</v>
      </c>
      <c r="H200" s="51" t="s">
        <v>74</v>
      </c>
      <c r="I200" s="51" t="s">
        <v>73</v>
      </c>
      <c r="J200" s="51" t="s">
        <v>72</v>
      </c>
      <c r="K200" s="51" t="s">
        <v>127</v>
      </c>
    </row>
    <row r="201" spans="2:11" x14ac:dyDescent="0.25">
      <c r="B201" s="57"/>
      <c r="C201" s="57" t="s">
        <v>129</v>
      </c>
      <c r="D201" s="57" t="s">
        <v>8</v>
      </c>
      <c r="E201" s="57" t="s">
        <v>99</v>
      </c>
      <c r="F201" s="57" t="s">
        <v>23</v>
      </c>
      <c r="G201" s="57" t="s">
        <v>100</v>
      </c>
      <c r="H201" s="57" t="s">
        <v>101</v>
      </c>
      <c r="I201" s="57" t="s">
        <v>102</v>
      </c>
      <c r="J201" s="57" t="s">
        <v>103</v>
      </c>
      <c r="K201" s="57" t="s">
        <v>178</v>
      </c>
    </row>
    <row r="202" spans="2:11" x14ac:dyDescent="0.25">
      <c r="B202" s="1" t="str">
        <f t="shared" ref="B202:B210" si="57">B175</f>
        <v>A</v>
      </c>
      <c r="C202" s="23">
        <f t="shared" ref="C202:C210" si="58">F190</f>
        <v>139500</v>
      </c>
      <c r="D202" s="23">
        <f t="shared" ref="D202:D210" si="59">IF(C202=0,0,VLOOKUP(C202,impuesto_mensual,1))</f>
        <v>125325.21</v>
      </c>
      <c r="E202" s="23">
        <f t="shared" ref="E202:E210" si="60">C202-D202</f>
        <v>14174.789999999994</v>
      </c>
      <c r="F202" s="44">
        <f t="shared" ref="F202:F210" si="61">IF(C202=0,0,(VLOOKUP(C202,impuesto_mensual,4))/100)</f>
        <v>0.34</v>
      </c>
      <c r="G202" s="23">
        <f t="shared" ref="G202:G210" si="62">E202*F202</f>
        <v>4819.4285999999984</v>
      </c>
      <c r="H202" s="23">
        <f>IF(C202=0,0,VLOOKUP(C202,impuesto_mensual,3))</f>
        <v>32691.18</v>
      </c>
      <c r="I202" s="23">
        <f>G202+H202</f>
        <v>37510.6086</v>
      </c>
      <c r="J202" s="23">
        <f t="shared" ref="J202:J210" si="63">IF(C202=0,0,VLOOKUP(C202,crédito_mensual,3))</f>
        <v>0</v>
      </c>
      <c r="K202" s="23">
        <f>I202-J202</f>
        <v>37510.6086</v>
      </c>
    </row>
    <row r="203" spans="2:11" x14ac:dyDescent="0.25">
      <c r="B203" s="1" t="str">
        <f t="shared" si="57"/>
        <v>B</v>
      </c>
      <c r="C203" s="23">
        <f t="shared" si="58"/>
        <v>96293.836643108923</v>
      </c>
      <c r="D203" s="23">
        <f t="shared" si="59"/>
        <v>93993.91</v>
      </c>
      <c r="E203" s="23">
        <f t="shared" si="60"/>
        <v>2299.92664310892</v>
      </c>
      <c r="F203" s="44">
        <f t="shared" si="61"/>
        <v>0.32</v>
      </c>
      <c r="G203" s="23">
        <f t="shared" si="62"/>
        <v>735.97652579485441</v>
      </c>
      <c r="H203" s="23">
        <f t="shared" ref="H203:H210" si="64">IF(C203=0,0,VLOOKUP(C203,impuesto_mensual,3))</f>
        <v>22665.17</v>
      </c>
      <c r="I203" s="23">
        <f>G203+H203</f>
        <v>23401.146525794851</v>
      </c>
      <c r="J203" s="23">
        <f t="shared" si="63"/>
        <v>0</v>
      </c>
      <c r="K203" s="23">
        <f>I203-J203</f>
        <v>23401.146525794851</v>
      </c>
    </row>
    <row r="204" spans="2:11" x14ac:dyDescent="0.25">
      <c r="B204" s="1" t="str">
        <f t="shared" si="57"/>
        <v>C</v>
      </c>
      <c r="C204" s="23">
        <f t="shared" si="58"/>
        <v>41542.656091327699</v>
      </c>
      <c r="D204" s="23">
        <f t="shared" si="59"/>
        <v>31236.5</v>
      </c>
      <c r="E204" s="23">
        <f t="shared" si="60"/>
        <v>10306.156091327699</v>
      </c>
      <c r="F204" s="44">
        <f t="shared" si="61"/>
        <v>0.23519999999999999</v>
      </c>
      <c r="G204" s="23">
        <f t="shared" si="62"/>
        <v>2424.0079126802748</v>
      </c>
      <c r="H204" s="23">
        <f t="shared" si="64"/>
        <v>5004.12</v>
      </c>
      <c r="I204" s="23">
        <f t="shared" ref="I204:I210" si="65">G204+H204</f>
        <v>7428.1279126802747</v>
      </c>
      <c r="J204" s="23">
        <f t="shared" si="63"/>
        <v>0</v>
      </c>
      <c r="K204" s="23">
        <f t="shared" ref="K204:K210" si="66">I204-J204</f>
        <v>7428.1279126802747</v>
      </c>
    </row>
    <row r="205" spans="2:11" x14ac:dyDescent="0.25">
      <c r="B205" s="1" t="str">
        <f t="shared" si="57"/>
        <v>D</v>
      </c>
      <c r="C205" s="23">
        <f t="shared" si="58"/>
        <v>65259.889035964581</v>
      </c>
      <c r="D205" s="23">
        <f t="shared" si="59"/>
        <v>49233.01</v>
      </c>
      <c r="E205" s="23">
        <f t="shared" si="60"/>
        <v>16026.879035964579</v>
      </c>
      <c r="F205" s="44">
        <f t="shared" si="61"/>
        <v>0.3</v>
      </c>
      <c r="G205" s="23">
        <f t="shared" si="62"/>
        <v>4808.0637107893735</v>
      </c>
      <c r="H205" s="23">
        <f t="shared" si="64"/>
        <v>9236.89</v>
      </c>
      <c r="I205" s="23">
        <f t="shared" si="65"/>
        <v>14044.953710789374</v>
      </c>
      <c r="J205" s="23">
        <f t="shared" si="63"/>
        <v>0</v>
      </c>
      <c r="K205" s="23">
        <f t="shared" si="66"/>
        <v>14044.953710789374</v>
      </c>
    </row>
    <row r="206" spans="2:11" x14ac:dyDescent="0.25">
      <c r="B206" s="1" t="str">
        <f t="shared" si="57"/>
        <v>E (3)</v>
      </c>
      <c r="C206" s="23">
        <f t="shared" si="58"/>
        <v>48659.580614972561</v>
      </c>
      <c r="D206" s="23">
        <f t="shared" si="59"/>
        <v>31236.5</v>
      </c>
      <c r="E206" s="23">
        <f t="shared" si="60"/>
        <v>17423.080614972561</v>
      </c>
      <c r="F206" s="44">
        <f t="shared" si="61"/>
        <v>0.23519999999999999</v>
      </c>
      <c r="G206" s="23">
        <f t="shared" si="62"/>
        <v>4097.9085606415465</v>
      </c>
      <c r="H206" s="23">
        <f t="shared" si="64"/>
        <v>5004.12</v>
      </c>
      <c r="I206" s="23">
        <f t="shared" si="65"/>
        <v>9102.0285606415455</v>
      </c>
      <c r="J206" s="23">
        <f t="shared" si="63"/>
        <v>0</v>
      </c>
      <c r="K206" s="23">
        <f t="shared" si="66"/>
        <v>9102.0285606415455</v>
      </c>
    </row>
    <row r="207" spans="2:11" x14ac:dyDescent="0.25">
      <c r="B207" s="1" t="str">
        <f t="shared" si="57"/>
        <v>F</v>
      </c>
      <c r="C207" s="23">
        <f t="shared" si="58"/>
        <v>65719.70323020182</v>
      </c>
      <c r="D207" s="23">
        <f t="shared" si="59"/>
        <v>49233.01</v>
      </c>
      <c r="E207" s="23">
        <f t="shared" si="60"/>
        <v>16486.693230201818</v>
      </c>
      <c r="F207" s="44">
        <f t="shared" si="61"/>
        <v>0.3</v>
      </c>
      <c r="G207" s="23">
        <f t="shared" si="62"/>
        <v>4946.0079690605453</v>
      </c>
      <c r="H207" s="23">
        <f t="shared" si="64"/>
        <v>9236.89</v>
      </c>
      <c r="I207" s="23">
        <f t="shared" si="65"/>
        <v>14182.897969060545</v>
      </c>
      <c r="J207" s="23">
        <f t="shared" si="63"/>
        <v>0</v>
      </c>
      <c r="K207" s="23">
        <f t="shared" si="66"/>
        <v>14182.897969060545</v>
      </c>
    </row>
    <row r="208" spans="2:11" x14ac:dyDescent="0.25">
      <c r="B208" s="1" t="str">
        <f t="shared" si="57"/>
        <v>G (4)</v>
      </c>
      <c r="C208" s="23">
        <f t="shared" si="58"/>
        <v>18231.081438686473</v>
      </c>
      <c r="D208" s="23">
        <f t="shared" si="59"/>
        <v>15487.72</v>
      </c>
      <c r="E208" s="23">
        <f t="shared" si="60"/>
        <v>2743.3614386864738</v>
      </c>
      <c r="F208" s="44">
        <f t="shared" si="61"/>
        <v>0.21359999999999998</v>
      </c>
      <c r="G208" s="23">
        <f t="shared" si="62"/>
        <v>585.9820033034307</v>
      </c>
      <c r="H208" s="23">
        <f t="shared" si="64"/>
        <v>1640.18</v>
      </c>
      <c r="I208" s="23">
        <f t="shared" si="65"/>
        <v>2226.1620033034305</v>
      </c>
      <c r="J208" s="23">
        <f t="shared" si="63"/>
        <v>0</v>
      </c>
      <c r="K208" s="23">
        <f t="shared" si="66"/>
        <v>2226.1620033034305</v>
      </c>
    </row>
    <row r="209" spans="1:11" x14ac:dyDescent="0.25">
      <c r="B209" s="1" t="str">
        <f t="shared" si="57"/>
        <v>H</v>
      </c>
      <c r="C209" s="23">
        <f t="shared" si="58"/>
        <v>25610.825667575966</v>
      </c>
      <c r="D209" s="23">
        <f t="shared" si="59"/>
        <v>15487.72</v>
      </c>
      <c r="E209" s="23">
        <f t="shared" si="60"/>
        <v>10123.105667575966</v>
      </c>
      <c r="F209" s="44">
        <f t="shared" si="61"/>
        <v>0.21359999999999998</v>
      </c>
      <c r="G209" s="23">
        <f t="shared" si="62"/>
        <v>2162.2953705942264</v>
      </c>
      <c r="H209" s="23">
        <f t="shared" si="64"/>
        <v>1640.18</v>
      </c>
      <c r="I209" s="23">
        <f t="shared" si="65"/>
        <v>3802.4753705942267</v>
      </c>
      <c r="J209" s="23">
        <f t="shared" si="63"/>
        <v>0</v>
      </c>
      <c r="K209" s="23">
        <f t="shared" si="66"/>
        <v>3802.4753705942267</v>
      </c>
    </row>
    <row r="210" spans="1:11" x14ac:dyDescent="0.25">
      <c r="B210" s="1" t="str">
        <f t="shared" si="57"/>
        <v>I</v>
      </c>
      <c r="C210" s="23">
        <f t="shared" si="58"/>
        <v>13954.227278161987</v>
      </c>
      <c r="D210" s="23">
        <f t="shared" si="59"/>
        <v>12935.83</v>
      </c>
      <c r="E210" s="23">
        <f t="shared" si="60"/>
        <v>1018.3972781619868</v>
      </c>
      <c r="F210" s="44">
        <f t="shared" si="61"/>
        <v>0.17920000000000003</v>
      </c>
      <c r="G210" s="23">
        <f t="shared" si="62"/>
        <v>182.49679224662808</v>
      </c>
      <c r="H210" s="23">
        <f t="shared" si="64"/>
        <v>1182.8800000000001</v>
      </c>
      <c r="I210" s="23">
        <f t="shared" si="65"/>
        <v>1365.3767922466282</v>
      </c>
      <c r="J210" s="23">
        <f t="shared" si="63"/>
        <v>0</v>
      </c>
      <c r="K210" s="23">
        <f t="shared" si="66"/>
        <v>1365.3767922466282</v>
      </c>
    </row>
    <row r="213" spans="1:11" ht="16.5" thickBot="1" x14ac:dyDescent="0.3">
      <c r="A213" s="41" t="s">
        <v>128</v>
      </c>
      <c r="B213" s="42"/>
      <c r="C213" s="42"/>
      <c r="D213" s="42"/>
      <c r="E213" s="42"/>
      <c r="F213" s="42"/>
      <c r="G213" s="42"/>
      <c r="H213" s="42"/>
      <c r="I213" s="42"/>
    </row>
    <row r="214" spans="1:11" ht="16.5" thickTop="1" x14ac:dyDescent="0.25"/>
    <row r="215" spans="1:11" ht="60" x14ac:dyDescent="0.25">
      <c r="B215" s="51" t="s">
        <v>49</v>
      </c>
      <c r="C215" s="101" t="s">
        <v>228</v>
      </c>
      <c r="D215" s="51" t="s">
        <v>168</v>
      </c>
      <c r="E215" s="51" t="s">
        <v>71</v>
      </c>
      <c r="F215" s="51" t="s">
        <v>140</v>
      </c>
    </row>
    <row r="216" spans="1:11" x14ac:dyDescent="0.25">
      <c r="B216" s="57"/>
      <c r="C216" s="57" t="s">
        <v>130</v>
      </c>
      <c r="D216" s="57" t="s">
        <v>169</v>
      </c>
      <c r="E216" s="57" t="s">
        <v>170</v>
      </c>
      <c r="F216" s="57" t="s">
        <v>171</v>
      </c>
    </row>
    <row r="217" spans="1:11" x14ac:dyDescent="0.25">
      <c r="B217" s="1" t="str">
        <f>B202</f>
        <v>A</v>
      </c>
      <c r="C217" s="23">
        <f t="shared" ref="C217:C225" si="67">K175</f>
        <v>37510.6086</v>
      </c>
      <c r="D217" s="23">
        <f t="shared" ref="D217:D225" si="68">K202</f>
        <v>37510.6086</v>
      </c>
      <c r="E217" s="23">
        <f t="shared" ref="E217:E225" si="69">C217-D217</f>
        <v>0</v>
      </c>
      <c r="F217" s="23">
        <f t="shared" ref="F217:F225" si="70">IF(C217&lt;D217,C217,D217)</f>
        <v>37510.6086</v>
      </c>
    </row>
    <row r="218" spans="1:11" x14ac:dyDescent="0.25">
      <c r="B218" s="1" t="str">
        <f t="shared" ref="B218:B225" si="71">B203</f>
        <v>B</v>
      </c>
      <c r="C218" s="23">
        <f t="shared" si="67"/>
        <v>20305.605578459224</v>
      </c>
      <c r="D218" s="23">
        <f t="shared" si="68"/>
        <v>23401.146525794851</v>
      </c>
      <c r="E218" s="23">
        <f t="shared" si="69"/>
        <v>-3095.5409473356267</v>
      </c>
      <c r="F218" s="23">
        <f t="shared" si="70"/>
        <v>20305.605578459224</v>
      </c>
      <c r="G218" s="2" t="s">
        <v>266</v>
      </c>
    </row>
    <row r="219" spans="1:11" x14ac:dyDescent="0.25">
      <c r="B219" s="1" t="str">
        <f t="shared" si="71"/>
        <v>C</v>
      </c>
      <c r="C219" s="23">
        <f t="shared" si="67"/>
        <v>6048.0642373554019</v>
      </c>
      <c r="D219" s="23">
        <f t="shared" si="68"/>
        <v>7428.1279126802747</v>
      </c>
      <c r="E219" s="23">
        <f t="shared" si="69"/>
        <v>-1380.0636753248727</v>
      </c>
      <c r="F219" s="23">
        <f t="shared" si="70"/>
        <v>6048.0642373554019</v>
      </c>
      <c r="G219" s="2" t="s">
        <v>266</v>
      </c>
    </row>
    <row r="220" spans="1:11" x14ac:dyDescent="0.25">
      <c r="B220" s="1" t="str">
        <f t="shared" si="71"/>
        <v>D</v>
      </c>
      <c r="C220" s="23">
        <f t="shared" si="67"/>
        <v>13006.421101258869</v>
      </c>
      <c r="D220" s="23">
        <f t="shared" si="68"/>
        <v>14044.953710789374</v>
      </c>
      <c r="E220" s="23">
        <f t="shared" si="69"/>
        <v>-1038.5326095305045</v>
      </c>
      <c r="F220" s="23">
        <f t="shared" si="70"/>
        <v>13006.421101258869</v>
      </c>
      <c r="G220" s="2" t="s">
        <v>266</v>
      </c>
    </row>
    <row r="221" spans="1:11" x14ac:dyDescent="0.25">
      <c r="B221" s="1" t="str">
        <f t="shared" si="71"/>
        <v>E (3)</v>
      </c>
      <c r="C221" s="23">
        <f t="shared" si="67"/>
        <v>8725.689427358142</v>
      </c>
      <c r="D221" s="23">
        <f t="shared" si="68"/>
        <v>9102.0285606415455</v>
      </c>
      <c r="E221" s="23">
        <f t="shared" si="69"/>
        <v>-376.3391332834035</v>
      </c>
      <c r="F221" s="23">
        <f t="shared" si="70"/>
        <v>8725.689427358142</v>
      </c>
      <c r="G221" s="2" t="s">
        <v>266</v>
      </c>
    </row>
    <row r="222" spans="1:11" x14ac:dyDescent="0.25">
      <c r="B222" s="1" t="str">
        <f t="shared" si="71"/>
        <v>F</v>
      </c>
      <c r="C222" s="23">
        <f t="shared" si="67"/>
        <v>12369.731617971111</v>
      </c>
      <c r="D222" s="23">
        <f t="shared" si="68"/>
        <v>14182.897969060545</v>
      </c>
      <c r="E222" s="23">
        <f t="shared" si="69"/>
        <v>-1813.1663510894341</v>
      </c>
      <c r="F222" s="23">
        <f t="shared" si="70"/>
        <v>12369.731617971111</v>
      </c>
      <c r="G222" s="2" t="s">
        <v>266</v>
      </c>
    </row>
    <row r="223" spans="1:11" x14ac:dyDescent="0.25">
      <c r="B223" s="1" t="str">
        <f t="shared" si="71"/>
        <v>G (4)</v>
      </c>
      <c r="C223" s="23">
        <f t="shared" si="67"/>
        <v>2131.7890578126162</v>
      </c>
      <c r="D223" s="23">
        <f t="shared" si="68"/>
        <v>2226.1620033034305</v>
      </c>
      <c r="E223" s="23">
        <f t="shared" si="69"/>
        <v>-94.372945490814345</v>
      </c>
      <c r="F223" s="23">
        <f t="shared" si="70"/>
        <v>2131.7890578126162</v>
      </c>
      <c r="G223" s="2" t="s">
        <v>266</v>
      </c>
    </row>
    <row r="224" spans="1:11" x14ac:dyDescent="0.25">
      <c r="B224" s="1" t="str">
        <f t="shared" si="71"/>
        <v>H</v>
      </c>
      <c r="C224" s="23">
        <f t="shared" si="67"/>
        <v>2469.3597046322657</v>
      </c>
      <c r="D224" s="23">
        <f t="shared" si="68"/>
        <v>3802.4753705942267</v>
      </c>
      <c r="E224" s="23">
        <f t="shared" si="69"/>
        <v>-1333.115665961961</v>
      </c>
      <c r="F224" s="23">
        <f t="shared" si="70"/>
        <v>2469.3597046322657</v>
      </c>
      <c r="G224" s="2" t="s">
        <v>266</v>
      </c>
    </row>
    <row r="225" spans="1:9" x14ac:dyDescent="0.25">
      <c r="B225" s="1" t="str">
        <f t="shared" si="71"/>
        <v>I</v>
      </c>
      <c r="C225" s="23">
        <f t="shared" si="67"/>
        <v>1201.1217998640248</v>
      </c>
      <c r="D225" s="23">
        <f t="shared" si="68"/>
        <v>1365.3767922466282</v>
      </c>
      <c r="E225" s="23">
        <f t="shared" si="69"/>
        <v>-164.2549923826034</v>
      </c>
      <c r="F225" s="23">
        <f t="shared" si="70"/>
        <v>1201.1217998640248</v>
      </c>
      <c r="G225" s="2" t="s">
        <v>266</v>
      </c>
    </row>
    <row r="228" spans="1:9" ht="16.5" thickBot="1" x14ac:dyDescent="0.3">
      <c r="A228" s="41" t="s">
        <v>141</v>
      </c>
      <c r="B228" s="42"/>
      <c r="C228" s="42"/>
      <c r="D228" s="42"/>
      <c r="E228" s="42"/>
      <c r="F228" s="42"/>
      <c r="G228" s="42"/>
      <c r="H228" s="42"/>
      <c r="I228" s="42"/>
    </row>
    <row r="229" spans="1:9" ht="16.5" thickTop="1" x14ac:dyDescent="0.25"/>
    <row r="230" spans="1:9" ht="45" x14ac:dyDescent="0.25">
      <c r="B230" s="51" t="s">
        <v>49</v>
      </c>
      <c r="C230" s="51" t="s">
        <v>78</v>
      </c>
      <c r="D230" s="51" t="s">
        <v>163</v>
      </c>
      <c r="E230" s="51" t="s">
        <v>140</v>
      </c>
      <c r="F230" s="51" t="s">
        <v>142</v>
      </c>
    </row>
    <row r="231" spans="1:9" x14ac:dyDescent="0.25">
      <c r="B231" s="57"/>
      <c r="C231" s="57" t="s">
        <v>44</v>
      </c>
      <c r="D231" s="57" t="s">
        <v>7</v>
      </c>
      <c r="E231" s="57" t="s">
        <v>171</v>
      </c>
      <c r="F231" s="57" t="s">
        <v>181</v>
      </c>
    </row>
    <row r="232" spans="1:9" x14ac:dyDescent="0.25">
      <c r="B232" s="1" t="str">
        <f>B217</f>
        <v>A</v>
      </c>
      <c r="C232" s="23">
        <f>I98</f>
        <v>0</v>
      </c>
      <c r="D232" s="23">
        <f t="shared" ref="D232:D240" si="72">C133</f>
        <v>139500</v>
      </c>
      <c r="E232" s="23">
        <f t="shared" ref="E232:E240" si="73">F217</f>
        <v>37510.6086</v>
      </c>
      <c r="F232" s="23">
        <f t="shared" ref="F232:F240" si="74">C232+D232-E232</f>
        <v>101989.39139999999</v>
      </c>
    </row>
    <row r="233" spans="1:9" x14ac:dyDescent="0.25">
      <c r="B233" s="1" t="str">
        <f t="shared" ref="B233:B240" si="75">B218</f>
        <v>B</v>
      </c>
      <c r="C233" s="23">
        <f>I99</f>
        <v>55849.936643108922</v>
      </c>
      <c r="D233" s="23">
        <f t="shared" si="72"/>
        <v>42000</v>
      </c>
      <c r="E233" s="23">
        <f t="shared" si="73"/>
        <v>20305.605578459224</v>
      </c>
      <c r="F233" s="23">
        <f t="shared" si="74"/>
        <v>77544.331064649712</v>
      </c>
    </row>
    <row r="234" spans="1:9" x14ac:dyDescent="0.25">
      <c r="B234" s="1" t="str">
        <f t="shared" si="75"/>
        <v>C</v>
      </c>
      <c r="C234" s="23">
        <f>I100</f>
        <v>31398.756091327701</v>
      </c>
      <c r="D234" s="23">
        <f t="shared" si="72"/>
        <v>11700</v>
      </c>
      <c r="E234" s="23">
        <f t="shared" si="73"/>
        <v>6048.0642373554019</v>
      </c>
      <c r="F234" s="23">
        <f t="shared" si="74"/>
        <v>37050.691853972297</v>
      </c>
      <c r="G234" s="23"/>
      <c r="H234" s="23"/>
      <c r="I234" s="23"/>
    </row>
    <row r="235" spans="1:9" x14ac:dyDescent="0.25">
      <c r="B235" s="1" t="str">
        <f t="shared" si="75"/>
        <v>D</v>
      </c>
      <c r="C235" s="23">
        <f>I101</f>
        <v>33815.98903596458</v>
      </c>
      <c r="D235" s="23">
        <f t="shared" si="72"/>
        <v>33000</v>
      </c>
      <c r="E235" s="23">
        <f t="shared" si="73"/>
        <v>13006.421101258869</v>
      </c>
      <c r="F235" s="23">
        <f t="shared" si="74"/>
        <v>53809.567934705708</v>
      </c>
    </row>
    <row r="236" spans="1:9" x14ac:dyDescent="0.25">
      <c r="B236" s="1" t="str">
        <f t="shared" si="75"/>
        <v>E (3)</v>
      </c>
      <c r="C236" s="23">
        <f>I102</f>
        <v>25915.68061497256</v>
      </c>
      <c r="D236" s="23">
        <f t="shared" si="72"/>
        <v>24300</v>
      </c>
      <c r="E236" s="23">
        <f t="shared" si="73"/>
        <v>8725.689427358142</v>
      </c>
      <c r="F236" s="23">
        <f t="shared" si="74"/>
        <v>41489.991187614418</v>
      </c>
    </row>
    <row r="237" spans="1:9" x14ac:dyDescent="0.25">
      <c r="B237" s="1" t="str">
        <f t="shared" si="75"/>
        <v>F</v>
      </c>
      <c r="C237" s="23">
        <f>I103</f>
        <v>47775.803230201833</v>
      </c>
      <c r="D237" s="23">
        <f t="shared" si="72"/>
        <v>19500</v>
      </c>
      <c r="E237" s="23">
        <f t="shared" si="73"/>
        <v>12369.731617971111</v>
      </c>
      <c r="F237" s="23">
        <f t="shared" si="74"/>
        <v>54906.071612230713</v>
      </c>
    </row>
    <row r="238" spans="1:9" x14ac:dyDescent="0.25">
      <c r="B238" s="1" t="str">
        <f t="shared" si="75"/>
        <v>G (4)</v>
      </c>
      <c r="C238" s="23">
        <f>I104</f>
        <v>5537.1814386864735</v>
      </c>
      <c r="D238" s="23">
        <f t="shared" si="72"/>
        <v>14250</v>
      </c>
      <c r="E238" s="23">
        <f t="shared" si="73"/>
        <v>2131.7890578126162</v>
      </c>
      <c r="F238" s="23">
        <f t="shared" si="74"/>
        <v>17655.392380873855</v>
      </c>
    </row>
    <row r="239" spans="1:9" x14ac:dyDescent="0.25">
      <c r="B239" s="1" t="str">
        <f t="shared" si="75"/>
        <v>H</v>
      </c>
      <c r="C239" s="23">
        <f>I105</f>
        <v>18166.925667575964</v>
      </c>
      <c r="D239" s="23">
        <f t="shared" si="72"/>
        <v>9000</v>
      </c>
      <c r="E239" s="23">
        <f t="shared" si="73"/>
        <v>2469.3597046322657</v>
      </c>
      <c r="F239" s="23">
        <f t="shared" si="74"/>
        <v>24697.5659629437</v>
      </c>
    </row>
    <row r="240" spans="1:9" x14ac:dyDescent="0.25">
      <c r="B240" s="1" t="str">
        <f t="shared" si="75"/>
        <v>I</v>
      </c>
      <c r="C240" s="23">
        <f>I106</f>
        <v>8010.3272781619871</v>
      </c>
      <c r="D240" s="23">
        <f t="shared" si="72"/>
        <v>7500</v>
      </c>
      <c r="E240" s="23">
        <f t="shared" si="73"/>
        <v>1201.1217998640248</v>
      </c>
      <c r="F240" s="23">
        <f t="shared" si="74"/>
        <v>14309.205478297963</v>
      </c>
    </row>
    <row r="241" spans="3:5" x14ac:dyDescent="0.25">
      <c r="C241" s="23"/>
      <c r="D241" s="23"/>
      <c r="E241" s="23"/>
    </row>
  </sheetData>
  <mergeCells count="4">
    <mergeCell ref="A1:I1"/>
    <mergeCell ref="A2:I2"/>
    <mergeCell ref="A3:I3"/>
    <mergeCell ref="H31:J31"/>
  </mergeCells>
  <pageMargins left="0.74803149606299213" right="0.74803149606299213" top="0.98425196850393704" bottom="0.98425196850393704" header="0" footer="0"/>
  <pageSetup scale="71" fitToHeight="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6"/>
  <sheetViews>
    <sheetView topLeftCell="A96" workbookViewId="0">
      <selection activeCell="B111" sqref="B111"/>
    </sheetView>
  </sheetViews>
  <sheetFormatPr baseColWidth="10" defaultRowHeight="15.75" x14ac:dyDescent="0.25"/>
  <cols>
    <col min="1" max="1" width="4.33203125" style="1" customWidth="1"/>
    <col min="2" max="2" width="47.6640625" style="1" customWidth="1"/>
    <col min="3" max="3" width="15.1640625" style="1" customWidth="1"/>
    <col min="4" max="4" width="16.6640625" style="1" customWidth="1"/>
    <col min="5" max="5" width="15.1640625" style="1" customWidth="1"/>
    <col min="6" max="6" width="16.83203125" style="1" customWidth="1"/>
    <col min="7" max="7" width="20.33203125" style="1" customWidth="1"/>
    <col min="8" max="9" width="14.1640625" style="1" customWidth="1"/>
    <col min="10" max="10" width="12" style="1"/>
    <col min="11" max="11" width="16.33203125" style="1" customWidth="1"/>
    <col min="12" max="16384" width="12" style="1"/>
  </cols>
  <sheetData>
    <row r="1" spans="1:9" ht="18.75" x14ac:dyDescent="0.3">
      <c r="A1" s="111" t="s">
        <v>63</v>
      </c>
      <c r="B1" s="111"/>
      <c r="C1" s="111"/>
      <c r="D1" s="111"/>
      <c r="E1" s="111"/>
      <c r="F1" s="111"/>
      <c r="G1" s="111"/>
      <c r="H1" s="111"/>
      <c r="I1" s="111"/>
    </row>
    <row r="2" spans="1:9" x14ac:dyDescent="0.25">
      <c r="A2" s="112" t="s">
        <v>218</v>
      </c>
      <c r="B2" s="112"/>
      <c r="C2" s="112"/>
      <c r="D2" s="112"/>
      <c r="E2" s="112"/>
      <c r="F2" s="112"/>
      <c r="G2" s="112"/>
      <c r="H2" s="112"/>
      <c r="I2" s="112"/>
    </row>
    <row r="3" spans="1:9" x14ac:dyDescent="0.25">
      <c r="A3" s="112" t="s">
        <v>219</v>
      </c>
      <c r="B3" s="112"/>
      <c r="C3" s="112"/>
      <c r="D3" s="112"/>
      <c r="E3" s="112"/>
      <c r="F3" s="112"/>
      <c r="G3" s="112"/>
      <c r="H3" s="112"/>
      <c r="I3" s="112"/>
    </row>
    <row r="5" spans="1:9" x14ac:dyDescent="0.25">
      <c r="B5" s="2" t="s">
        <v>143</v>
      </c>
    </row>
    <row r="7" spans="1:9" x14ac:dyDescent="0.25">
      <c r="A7" s="2" t="s">
        <v>180</v>
      </c>
      <c r="B7" s="2"/>
    </row>
    <row r="8" spans="1:9" x14ac:dyDescent="0.25">
      <c r="A8" s="2" t="s">
        <v>151</v>
      </c>
      <c r="B8" s="2"/>
    </row>
    <row r="9" spans="1:9" x14ac:dyDescent="0.25">
      <c r="A9" s="2" t="s">
        <v>48</v>
      </c>
      <c r="B9" s="2"/>
    </row>
    <row r="10" spans="1:9" x14ac:dyDescent="0.25">
      <c r="A10" s="2" t="s">
        <v>68</v>
      </c>
      <c r="B10" s="2"/>
    </row>
    <row r="11" spans="1:9" x14ac:dyDescent="0.25">
      <c r="A11" s="2" t="s">
        <v>132</v>
      </c>
      <c r="B11" s="2"/>
    </row>
    <row r="12" spans="1:9" x14ac:dyDescent="0.25">
      <c r="B12" s="1" t="s">
        <v>152</v>
      </c>
    </row>
    <row r="13" spans="1:9" x14ac:dyDescent="0.25">
      <c r="B13" s="1" t="s">
        <v>201</v>
      </c>
    </row>
    <row r="14" spans="1:9" x14ac:dyDescent="0.25">
      <c r="B14" s="1" t="s">
        <v>153</v>
      </c>
    </row>
    <row r="15" spans="1:9" x14ac:dyDescent="0.25">
      <c r="B15" s="1" t="s">
        <v>185</v>
      </c>
    </row>
    <row r="16" spans="1:9" x14ac:dyDescent="0.25">
      <c r="B16" s="1" t="s">
        <v>154</v>
      </c>
    </row>
    <row r="17" spans="1:11" x14ac:dyDescent="0.25">
      <c r="B17" s="1" t="s">
        <v>156</v>
      </c>
    </row>
    <row r="18" spans="1:11" x14ac:dyDescent="0.25">
      <c r="B18" s="1" t="s">
        <v>155</v>
      </c>
    </row>
    <row r="19" spans="1:11" x14ac:dyDescent="0.25">
      <c r="B19" s="1" t="s">
        <v>157</v>
      </c>
    </row>
    <row r="22" spans="1:11" ht="16.5" thickBot="1" x14ac:dyDescent="0.3">
      <c r="A22" s="3" t="s">
        <v>158</v>
      </c>
      <c r="B22" s="4"/>
      <c r="C22" s="4"/>
      <c r="D22" s="4"/>
      <c r="E22" s="4"/>
      <c r="F22" s="4"/>
      <c r="G22" s="4"/>
      <c r="H22" s="4"/>
      <c r="I22" s="4"/>
    </row>
    <row r="24" spans="1:11" x14ac:dyDescent="0.25">
      <c r="B24" s="5" t="s">
        <v>220</v>
      </c>
      <c r="E24" s="46">
        <v>3854900</v>
      </c>
      <c r="F24" s="7"/>
      <c r="G24" s="7"/>
    </row>
    <row r="25" spans="1:11" x14ac:dyDescent="0.25">
      <c r="B25" s="5" t="s">
        <v>221</v>
      </c>
      <c r="E25" s="8">
        <v>28538</v>
      </c>
    </row>
    <row r="26" spans="1:11" x14ac:dyDescent="0.25">
      <c r="B26" s="5" t="s">
        <v>222</v>
      </c>
      <c r="E26" s="8">
        <v>0</v>
      </c>
    </row>
    <row r="27" spans="1:11" x14ac:dyDescent="0.25">
      <c r="B27" s="5"/>
      <c r="E27" s="8"/>
    </row>
    <row r="28" spans="1:11" ht="60" x14ac:dyDescent="0.25">
      <c r="B28" s="51" t="s">
        <v>49</v>
      </c>
      <c r="C28" s="51" t="s">
        <v>56</v>
      </c>
      <c r="D28" s="51" t="s">
        <v>57</v>
      </c>
      <c r="E28" s="51" t="s">
        <v>81</v>
      </c>
      <c r="F28" s="51" t="s">
        <v>61</v>
      </c>
      <c r="G28" s="51" t="s">
        <v>198</v>
      </c>
    </row>
    <row r="29" spans="1:11" x14ac:dyDescent="0.25">
      <c r="B29" s="11" t="s">
        <v>40</v>
      </c>
      <c r="C29" s="11">
        <v>366</v>
      </c>
      <c r="D29" s="8">
        <v>2000</v>
      </c>
      <c r="E29" s="47">
        <f>D29*30</f>
        <v>60000</v>
      </c>
      <c r="F29" s="13"/>
      <c r="G29" s="14">
        <v>89.62</v>
      </c>
      <c r="K29" s="23"/>
    </row>
    <row r="30" spans="1:11" x14ac:dyDescent="0.25">
      <c r="B30" s="11" t="s">
        <v>41</v>
      </c>
      <c r="C30" s="11">
        <v>250</v>
      </c>
      <c r="D30" s="8">
        <v>930</v>
      </c>
      <c r="E30" s="47">
        <f>D30*30</f>
        <v>27900</v>
      </c>
      <c r="F30" s="13"/>
      <c r="G30" s="14">
        <v>89.62</v>
      </c>
      <c r="K30" s="23"/>
    </row>
    <row r="31" spans="1:11" x14ac:dyDescent="0.25">
      <c r="B31" s="11" t="s">
        <v>27</v>
      </c>
      <c r="C31" s="11">
        <v>366</v>
      </c>
      <c r="D31" s="8">
        <v>720</v>
      </c>
      <c r="E31" s="47">
        <f>D31*30</f>
        <v>21600</v>
      </c>
      <c r="F31" s="13"/>
      <c r="G31" s="14">
        <v>89.62</v>
      </c>
      <c r="K31" s="23"/>
    </row>
    <row r="33" spans="1:9" ht="32.25" customHeight="1" x14ac:dyDescent="0.25">
      <c r="B33" s="114" t="s">
        <v>186</v>
      </c>
      <c r="C33" s="114"/>
      <c r="D33" s="114"/>
      <c r="E33" s="114"/>
      <c r="F33" s="114"/>
      <c r="G33" s="114"/>
      <c r="H33" s="114"/>
      <c r="I33" s="114"/>
    </row>
    <row r="35" spans="1:9" ht="16.5" thickBot="1" x14ac:dyDescent="0.3">
      <c r="A35" s="3" t="s">
        <v>180</v>
      </c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28"/>
      <c r="B36" s="9"/>
      <c r="C36" s="48"/>
      <c r="E36" s="28"/>
      <c r="F36" s="28"/>
      <c r="G36" s="28"/>
      <c r="H36" s="28"/>
    </row>
    <row r="37" spans="1:9" x14ac:dyDescent="0.25">
      <c r="A37" s="28"/>
      <c r="B37" s="5" t="str">
        <f>B24</f>
        <v>Utilidad fiscal del ejercicio para efectos de PTU 2021</v>
      </c>
      <c r="E37" s="49">
        <f>E24</f>
        <v>3854900</v>
      </c>
      <c r="F37" s="28"/>
      <c r="G37" s="28"/>
      <c r="H37" s="28"/>
    </row>
    <row r="38" spans="1:9" x14ac:dyDescent="0.25">
      <c r="A38" s="9" t="s">
        <v>35</v>
      </c>
      <c r="B38" s="5" t="s">
        <v>1</v>
      </c>
      <c r="E38" s="50">
        <v>0.1</v>
      </c>
      <c r="F38" s="28"/>
      <c r="G38" s="28"/>
      <c r="H38" s="28"/>
    </row>
    <row r="39" spans="1:9" x14ac:dyDescent="0.25">
      <c r="A39" s="28"/>
      <c r="E39" s="35"/>
      <c r="F39" s="28"/>
      <c r="G39" s="28"/>
      <c r="H39" s="28"/>
    </row>
    <row r="40" spans="1:9" x14ac:dyDescent="0.25">
      <c r="A40" s="9" t="s">
        <v>12</v>
      </c>
      <c r="B40" s="5" t="s">
        <v>202</v>
      </c>
      <c r="E40" s="31">
        <f>E37*E38</f>
        <v>385490</v>
      </c>
      <c r="F40" s="28"/>
      <c r="G40" s="28"/>
      <c r="H40" s="28"/>
    </row>
    <row r="41" spans="1:9" x14ac:dyDescent="0.25">
      <c r="A41" s="9" t="s">
        <v>36</v>
      </c>
      <c r="B41" s="5" t="str">
        <f>B25</f>
        <v xml:space="preserve">PTU del ejercicio 2019, repartida en 2020 no reclamada </v>
      </c>
      <c r="E41" s="31">
        <f>E25</f>
        <v>28538</v>
      </c>
      <c r="F41" s="28"/>
      <c r="G41" s="28"/>
      <c r="H41" s="28"/>
    </row>
    <row r="42" spans="1:9" x14ac:dyDescent="0.25">
      <c r="A42" s="9" t="s">
        <v>37</v>
      </c>
      <c r="B42" s="5" t="str">
        <f>B26</f>
        <v xml:space="preserve">PTU que en 2020 se hubiera determinado como pagada indebidamente </v>
      </c>
      <c r="E42" s="31">
        <f>E26</f>
        <v>0</v>
      </c>
      <c r="F42" s="28"/>
      <c r="G42" s="28"/>
      <c r="H42" s="28"/>
    </row>
    <row r="43" spans="1:9" x14ac:dyDescent="0.25">
      <c r="A43" s="28"/>
      <c r="E43" s="35"/>
      <c r="F43" s="28"/>
      <c r="G43" s="28"/>
      <c r="H43" s="28"/>
    </row>
    <row r="44" spans="1:9" x14ac:dyDescent="0.25">
      <c r="A44" s="9" t="s">
        <v>12</v>
      </c>
      <c r="B44" s="5" t="s">
        <v>203</v>
      </c>
      <c r="E44" s="31">
        <f>E40+E41-E42</f>
        <v>414028</v>
      </c>
      <c r="F44" s="28"/>
      <c r="G44" s="28"/>
      <c r="H44" s="28"/>
    </row>
    <row r="45" spans="1:9" x14ac:dyDescent="0.25">
      <c r="A45" s="28"/>
      <c r="E45" s="28"/>
      <c r="F45" s="28"/>
      <c r="G45" s="28"/>
      <c r="H45" s="28"/>
    </row>
    <row r="46" spans="1:9" x14ac:dyDescent="0.25">
      <c r="A46" s="28"/>
      <c r="B46" s="5" t="s">
        <v>5</v>
      </c>
      <c r="E46" s="24">
        <f>E44*0.5</f>
        <v>207014</v>
      </c>
      <c r="F46" s="28"/>
      <c r="G46" s="28"/>
      <c r="H46" s="28"/>
    </row>
    <row r="47" spans="1:9" x14ac:dyDescent="0.25">
      <c r="A47" s="28"/>
      <c r="B47" s="5" t="s">
        <v>6</v>
      </c>
      <c r="E47" s="24">
        <f>E44*0.5</f>
        <v>207014</v>
      </c>
      <c r="F47" s="28"/>
      <c r="G47" s="28"/>
      <c r="H47" s="28"/>
    </row>
    <row r="48" spans="1:9" x14ac:dyDescent="0.25">
      <c r="A48" s="28"/>
      <c r="B48" s="28"/>
      <c r="C48" s="28"/>
      <c r="D48" s="28"/>
      <c r="E48" s="28"/>
      <c r="F48" s="28"/>
      <c r="G48" s="28"/>
      <c r="H48" s="28"/>
    </row>
    <row r="49" spans="1:9" x14ac:dyDescent="0.25">
      <c r="A49" s="28"/>
      <c r="B49" s="28"/>
      <c r="C49" s="28"/>
      <c r="D49" s="28"/>
      <c r="E49" s="28"/>
      <c r="F49" s="28"/>
      <c r="G49" s="28"/>
      <c r="H49" s="28"/>
    </row>
    <row r="50" spans="1:9" ht="16.5" thickBot="1" x14ac:dyDescent="0.3">
      <c r="A50" s="3" t="s">
        <v>46</v>
      </c>
      <c r="B50" s="25"/>
      <c r="C50" s="25"/>
      <c r="D50" s="25"/>
      <c r="E50" s="25"/>
      <c r="F50" s="25"/>
      <c r="G50" s="25"/>
      <c r="H50" s="26"/>
      <c r="I50" s="4"/>
    </row>
    <row r="51" spans="1:9" x14ac:dyDescent="0.25">
      <c r="A51" s="9"/>
      <c r="B51" s="10"/>
      <c r="C51" s="10"/>
      <c r="D51" s="10"/>
      <c r="E51" s="27"/>
      <c r="F51" s="10"/>
      <c r="G51" s="28"/>
      <c r="H51" s="28"/>
    </row>
    <row r="52" spans="1:9" ht="45" x14ac:dyDescent="0.25">
      <c r="A52" s="9"/>
      <c r="B52" s="52" t="s">
        <v>49</v>
      </c>
      <c r="C52" s="52" t="s">
        <v>56</v>
      </c>
      <c r="D52" s="52" t="s">
        <v>64</v>
      </c>
      <c r="E52" s="52" t="s">
        <v>65</v>
      </c>
      <c r="F52" s="52" t="s">
        <v>67</v>
      </c>
      <c r="G52" s="51" t="s">
        <v>161</v>
      </c>
      <c r="H52" s="51" t="s">
        <v>60</v>
      </c>
      <c r="I52" s="51" t="s">
        <v>58</v>
      </c>
    </row>
    <row r="53" spans="1:9" x14ac:dyDescent="0.25">
      <c r="A53" s="9"/>
      <c r="B53" s="53"/>
      <c r="C53" s="54" t="s">
        <v>7</v>
      </c>
      <c r="D53" s="54" t="s">
        <v>8</v>
      </c>
      <c r="E53" s="54" t="s">
        <v>38</v>
      </c>
      <c r="F53" s="54" t="s">
        <v>39</v>
      </c>
      <c r="G53" s="55"/>
      <c r="H53" s="56" t="s">
        <v>7</v>
      </c>
      <c r="I53" s="56" t="s">
        <v>42</v>
      </c>
    </row>
    <row r="54" spans="1:9" x14ac:dyDescent="0.25">
      <c r="A54" s="9"/>
      <c r="B54" s="28" t="str">
        <f t="shared" ref="B54:D56" si="0">B29</f>
        <v>Enfermera</v>
      </c>
      <c r="C54" s="28">
        <f t="shared" si="0"/>
        <v>366</v>
      </c>
      <c r="D54" s="23">
        <f t="shared" si="0"/>
        <v>2000</v>
      </c>
      <c r="E54" s="33">
        <f>C54*D54</f>
        <v>732000</v>
      </c>
      <c r="F54" s="33">
        <f>IF(D54*30&gt;E54,E54,D54*30)</f>
        <v>60000</v>
      </c>
      <c r="G54" s="32">
        <f>F29</f>
        <v>0</v>
      </c>
      <c r="H54" s="33">
        <f>IF(G54&lt;&gt;0,0,C54)</f>
        <v>366</v>
      </c>
      <c r="I54" s="33">
        <f>IF(G54&lt;&gt;0,0,E54)</f>
        <v>732000</v>
      </c>
    </row>
    <row r="55" spans="1:9" x14ac:dyDescent="0.25">
      <c r="A55" s="9"/>
      <c r="B55" s="28" t="str">
        <f t="shared" si="0"/>
        <v>Asistente administrativo</v>
      </c>
      <c r="C55" s="28">
        <f t="shared" si="0"/>
        <v>250</v>
      </c>
      <c r="D55" s="23">
        <f t="shared" si="0"/>
        <v>930</v>
      </c>
      <c r="E55" s="33">
        <f>C55*D55</f>
        <v>232500</v>
      </c>
      <c r="F55" s="33">
        <f>IF(D55*30&gt;E55,E55,D55*30)</f>
        <v>27900</v>
      </c>
      <c r="G55" s="32">
        <f>F30</f>
        <v>0</v>
      </c>
      <c r="H55" s="33">
        <f>IF(G55&lt;&gt;0,0,C55)</f>
        <v>250</v>
      </c>
      <c r="I55" s="33">
        <f>IF(G55&lt;&gt;0,0,E55)</f>
        <v>232500</v>
      </c>
    </row>
    <row r="56" spans="1:9" x14ac:dyDescent="0.25">
      <c r="A56" s="9"/>
      <c r="B56" s="28" t="str">
        <f t="shared" si="0"/>
        <v>Secretaria</v>
      </c>
      <c r="C56" s="28">
        <f t="shared" si="0"/>
        <v>366</v>
      </c>
      <c r="D56" s="23">
        <f t="shared" si="0"/>
        <v>720</v>
      </c>
      <c r="E56" s="33">
        <f>C56*D56</f>
        <v>263520</v>
      </c>
      <c r="F56" s="33">
        <f>IF(D56*30&gt;E56,E56,D56*30)</f>
        <v>21600</v>
      </c>
      <c r="G56" s="32">
        <f>F31</f>
        <v>0</v>
      </c>
      <c r="H56" s="33">
        <f>IF(G56&lt;&gt;0,0,C56)</f>
        <v>366</v>
      </c>
      <c r="I56" s="33">
        <f>IF(G56&lt;&gt;0,0,E56)</f>
        <v>263520</v>
      </c>
    </row>
    <row r="57" spans="1:9" x14ac:dyDescent="0.25">
      <c r="A57" s="9"/>
      <c r="B57" s="9"/>
      <c r="F57" s="9"/>
      <c r="H57" s="22"/>
      <c r="I57" s="22"/>
    </row>
    <row r="58" spans="1:9" x14ac:dyDescent="0.25">
      <c r="A58" s="9" t="s">
        <v>12</v>
      </c>
      <c r="B58" s="9" t="s">
        <v>28</v>
      </c>
      <c r="F58" s="28"/>
      <c r="H58" s="33">
        <f>SUM(H54:H57)</f>
        <v>982</v>
      </c>
      <c r="I58" s="33">
        <f>SUM(I54:I57)</f>
        <v>1228020</v>
      </c>
    </row>
    <row r="59" spans="1:9" x14ac:dyDescent="0.25">
      <c r="A59" s="9"/>
      <c r="B59" s="9"/>
      <c r="F59" s="28"/>
    </row>
    <row r="60" spans="1:9" x14ac:dyDescent="0.25">
      <c r="A60" s="9"/>
      <c r="B60" s="9" t="s">
        <v>11</v>
      </c>
      <c r="F60" s="28"/>
      <c r="H60" s="33">
        <f>E46</f>
        <v>207014</v>
      </c>
      <c r="I60" s="33">
        <f>E47</f>
        <v>207014</v>
      </c>
    </row>
    <row r="61" spans="1:9" x14ac:dyDescent="0.25">
      <c r="A61" s="9" t="s">
        <v>10</v>
      </c>
      <c r="B61" s="9" t="s">
        <v>28</v>
      </c>
      <c r="F61" s="28"/>
      <c r="H61" s="33">
        <f>H58</f>
        <v>982</v>
      </c>
      <c r="I61" s="33">
        <f>I58</f>
        <v>1228020</v>
      </c>
    </row>
    <row r="62" spans="1:9" x14ac:dyDescent="0.25">
      <c r="A62" s="9"/>
      <c r="B62" s="9"/>
      <c r="F62" s="9"/>
      <c r="H62" s="35"/>
      <c r="I62" s="35"/>
    </row>
    <row r="63" spans="1:9" x14ac:dyDescent="0.25">
      <c r="A63" s="9" t="s">
        <v>12</v>
      </c>
      <c r="B63" s="9" t="s">
        <v>13</v>
      </c>
      <c r="F63" s="28"/>
      <c r="G63" s="28"/>
      <c r="H63" s="36">
        <f>H60/H61</f>
        <v>210.80855397148676</v>
      </c>
      <c r="I63" s="36">
        <f>I60/I61</f>
        <v>0.1685754303675836</v>
      </c>
    </row>
    <row r="64" spans="1:9" x14ac:dyDescent="0.25">
      <c r="A64" s="28"/>
      <c r="B64" s="28"/>
      <c r="C64" s="28"/>
      <c r="D64" s="28"/>
      <c r="E64" s="28"/>
      <c r="F64" s="28"/>
      <c r="G64" s="28"/>
      <c r="H64" s="28"/>
    </row>
    <row r="65" spans="1:9" x14ac:dyDescent="0.25">
      <c r="A65" s="9" t="s">
        <v>98</v>
      </c>
      <c r="B65" s="9"/>
      <c r="C65" s="9"/>
      <c r="D65" s="9"/>
      <c r="E65" s="9"/>
      <c r="F65" s="9"/>
      <c r="G65" s="28"/>
      <c r="H65" s="28"/>
    </row>
    <row r="66" spans="1:9" x14ac:dyDescent="0.25">
      <c r="A66" s="28"/>
      <c r="B66" s="28"/>
      <c r="C66" s="28"/>
      <c r="D66" s="28"/>
      <c r="E66" s="28"/>
      <c r="F66" s="28"/>
      <c r="G66" s="28"/>
      <c r="H66" s="28"/>
    </row>
    <row r="67" spans="1:9" x14ac:dyDescent="0.25">
      <c r="A67" s="28"/>
      <c r="B67" s="28"/>
      <c r="C67" s="28"/>
      <c r="D67" s="28"/>
      <c r="E67" s="28"/>
      <c r="F67" s="28"/>
      <c r="G67" s="28"/>
      <c r="H67" s="28"/>
    </row>
    <row r="68" spans="1:9" ht="15" customHeight="1" thickBot="1" x14ac:dyDescent="0.3">
      <c r="A68" s="25" t="s">
        <v>48</v>
      </c>
      <c r="B68" s="25"/>
      <c r="C68" s="25"/>
      <c r="D68" s="25"/>
      <c r="E68" s="25"/>
      <c r="F68" s="25"/>
      <c r="G68" s="25"/>
      <c r="H68" s="25"/>
      <c r="I68" s="25"/>
    </row>
    <row r="69" spans="1:9" x14ac:dyDescent="0.25">
      <c r="B69" s="10"/>
      <c r="C69" s="10"/>
      <c r="D69" s="27"/>
      <c r="E69" s="27"/>
      <c r="F69" s="10"/>
      <c r="G69" s="27"/>
      <c r="H69" s="27"/>
      <c r="I69" s="27"/>
    </row>
    <row r="70" spans="1:9" ht="45" x14ac:dyDescent="0.25">
      <c r="B70" s="51" t="s">
        <v>49</v>
      </c>
      <c r="C70" s="51" t="s">
        <v>62</v>
      </c>
      <c r="D70" s="51" t="s">
        <v>50</v>
      </c>
      <c r="E70" s="51" t="s">
        <v>51</v>
      </c>
      <c r="F70" s="51" t="s">
        <v>52</v>
      </c>
      <c r="G70" s="51" t="s">
        <v>53</v>
      </c>
      <c r="H70" s="51" t="s">
        <v>54</v>
      </c>
      <c r="I70" s="51" t="s">
        <v>55</v>
      </c>
    </row>
    <row r="71" spans="1:9" x14ac:dyDescent="0.25">
      <c r="B71" s="57"/>
      <c r="C71" s="57" t="s">
        <v>7</v>
      </c>
      <c r="D71" s="57" t="s">
        <v>21</v>
      </c>
      <c r="E71" s="57" t="s">
        <v>22</v>
      </c>
      <c r="F71" s="57" t="s">
        <v>42</v>
      </c>
      <c r="G71" s="57" t="s">
        <v>24</v>
      </c>
      <c r="H71" s="57" t="s">
        <v>43</v>
      </c>
      <c r="I71" s="57" t="s">
        <v>26</v>
      </c>
    </row>
    <row r="72" spans="1:9" x14ac:dyDescent="0.25">
      <c r="B72" s="9" t="str">
        <f>B54</f>
        <v>Enfermera</v>
      </c>
      <c r="C72" s="33">
        <f>H54</f>
        <v>366</v>
      </c>
      <c r="D72" s="39">
        <f>H$63</f>
        <v>210.80855397148676</v>
      </c>
      <c r="E72" s="33">
        <f>C72*D72</f>
        <v>77155.930753564156</v>
      </c>
      <c r="F72" s="33">
        <f>I54</f>
        <v>732000</v>
      </c>
      <c r="G72" s="39">
        <f>I$63</f>
        <v>0.1685754303675836</v>
      </c>
      <c r="H72" s="33">
        <f>F72*G72</f>
        <v>123397.2150290712</v>
      </c>
      <c r="I72" s="33">
        <f>E72+H72</f>
        <v>200553.14578263537</v>
      </c>
    </row>
    <row r="73" spans="1:9" x14ac:dyDescent="0.25">
      <c r="B73" s="9" t="str">
        <f>B55</f>
        <v>Asistente administrativo</v>
      </c>
      <c r="C73" s="33">
        <f>H55</f>
        <v>250</v>
      </c>
      <c r="D73" s="39">
        <f>H$63</f>
        <v>210.80855397148676</v>
      </c>
      <c r="E73" s="33">
        <f>C73*D73</f>
        <v>52702.138492871687</v>
      </c>
      <c r="F73" s="33">
        <f>I55</f>
        <v>232500</v>
      </c>
      <c r="G73" s="39">
        <f>I$63</f>
        <v>0.1685754303675836</v>
      </c>
      <c r="H73" s="33">
        <f>F73*G73</f>
        <v>39193.787560463184</v>
      </c>
      <c r="I73" s="33">
        <f>E73+H73</f>
        <v>91895.926053334872</v>
      </c>
    </row>
    <row r="74" spans="1:9" x14ac:dyDescent="0.25">
      <c r="B74" s="9" t="str">
        <f>B56</f>
        <v>Secretaria</v>
      </c>
      <c r="C74" s="33">
        <f>H56</f>
        <v>366</v>
      </c>
      <c r="D74" s="39">
        <f>H$63</f>
        <v>210.80855397148676</v>
      </c>
      <c r="E74" s="33">
        <f>C74*D74</f>
        <v>77155.930753564156</v>
      </c>
      <c r="F74" s="33">
        <f>I56</f>
        <v>263520</v>
      </c>
      <c r="G74" s="39">
        <f>I$63</f>
        <v>0.1685754303675836</v>
      </c>
      <c r="H74" s="33">
        <f>F74*G74</f>
        <v>44422.997410465628</v>
      </c>
      <c r="I74" s="33">
        <f>E74+H74</f>
        <v>121578.92816402978</v>
      </c>
    </row>
    <row r="75" spans="1:9" x14ac:dyDescent="0.25">
      <c r="B75" s="9"/>
      <c r="C75" s="35"/>
      <c r="D75" s="9"/>
      <c r="E75" s="35"/>
      <c r="F75" s="35"/>
      <c r="G75" s="9"/>
      <c r="H75" s="35"/>
      <c r="I75" s="35"/>
    </row>
    <row r="76" spans="1:9" x14ac:dyDescent="0.25">
      <c r="B76" s="30" t="s">
        <v>28</v>
      </c>
      <c r="C76" s="40">
        <f>SUM(C72:C75)</f>
        <v>982</v>
      </c>
      <c r="D76" s="28"/>
      <c r="E76" s="40">
        <f>SUM(E72:E75)</f>
        <v>207014</v>
      </c>
      <c r="F76" s="40">
        <f>SUM(F72:F75)</f>
        <v>1228020</v>
      </c>
      <c r="G76" s="28"/>
      <c r="H76" s="40">
        <f>SUM(H72:H75)</f>
        <v>207014</v>
      </c>
      <c r="I76" s="40">
        <f>SUM(I72:I75)</f>
        <v>414028.00000000006</v>
      </c>
    </row>
    <row r="77" spans="1:9" x14ac:dyDescent="0.25">
      <c r="A77" s="28"/>
      <c r="B77" s="28"/>
      <c r="C77" s="28"/>
      <c r="D77" s="28"/>
      <c r="E77" s="28"/>
      <c r="F77" s="28"/>
      <c r="G77" s="28"/>
      <c r="H77" s="28"/>
    </row>
    <row r="78" spans="1:9" x14ac:dyDescent="0.25">
      <c r="A78" s="28"/>
      <c r="B78" s="28"/>
      <c r="C78" s="28"/>
      <c r="D78" s="28"/>
      <c r="E78" s="28"/>
      <c r="F78" s="28"/>
      <c r="G78" s="28"/>
      <c r="H78" s="28"/>
    </row>
    <row r="79" spans="1:9" ht="16.5" thickBot="1" x14ac:dyDescent="0.3">
      <c r="A79" s="25" t="s">
        <v>68</v>
      </c>
      <c r="B79" s="25"/>
      <c r="C79" s="25"/>
      <c r="D79" s="25"/>
      <c r="E79" s="25"/>
      <c r="F79" s="25"/>
      <c r="G79" s="25"/>
      <c r="H79" s="25"/>
      <c r="I79" s="25"/>
    </row>
    <row r="80" spans="1:9" x14ac:dyDescent="0.25">
      <c r="B80" s="10"/>
      <c r="C80" s="27"/>
      <c r="D80" s="27"/>
      <c r="E80" s="27"/>
      <c r="F80" s="28"/>
      <c r="G80" s="28"/>
      <c r="H80" s="28"/>
    </row>
    <row r="81" spans="1:9" ht="43.5" customHeight="1" x14ac:dyDescent="0.25">
      <c r="B81" s="113" t="s">
        <v>179</v>
      </c>
      <c r="C81" s="113"/>
      <c r="D81" s="113"/>
      <c r="E81" s="113"/>
      <c r="F81" s="113"/>
      <c r="G81" s="113"/>
      <c r="H81" s="113"/>
    </row>
    <row r="82" spans="1:9" x14ac:dyDescent="0.25">
      <c r="B82" s="10"/>
      <c r="C82" s="27"/>
      <c r="D82" s="27"/>
      <c r="E82" s="27"/>
      <c r="F82" s="28"/>
      <c r="G82" s="28"/>
      <c r="H82" s="28"/>
    </row>
    <row r="83" spans="1:9" ht="45" x14ac:dyDescent="0.25">
      <c r="B83" s="51" t="s">
        <v>49</v>
      </c>
      <c r="C83" s="51" t="s">
        <v>55</v>
      </c>
      <c r="D83" s="51" t="s">
        <v>66</v>
      </c>
      <c r="E83" s="51" t="s">
        <v>69</v>
      </c>
      <c r="F83" s="28"/>
      <c r="G83" s="28"/>
      <c r="H83" s="28"/>
    </row>
    <row r="84" spans="1:9" x14ac:dyDescent="0.25">
      <c r="B84" s="57"/>
      <c r="C84" s="57" t="s">
        <v>44</v>
      </c>
      <c r="D84" s="57" t="s">
        <v>23</v>
      </c>
      <c r="E84" s="57" t="s">
        <v>45</v>
      </c>
      <c r="F84" s="28"/>
      <c r="G84" s="28"/>
      <c r="H84" s="28"/>
    </row>
    <row r="85" spans="1:9" x14ac:dyDescent="0.25">
      <c r="B85" s="9" t="s">
        <v>40</v>
      </c>
      <c r="C85" s="33">
        <f>I72</f>
        <v>200553.14578263537</v>
      </c>
      <c r="D85" s="31">
        <f>E29</f>
        <v>60000</v>
      </c>
      <c r="E85" s="33">
        <f>IF(C85&lt;=D85,C85,D85)</f>
        <v>60000</v>
      </c>
      <c r="F85" s="28"/>
      <c r="G85" s="28"/>
      <c r="H85" s="28"/>
    </row>
    <row r="86" spans="1:9" x14ac:dyDescent="0.25">
      <c r="B86" s="9" t="s">
        <v>41</v>
      </c>
      <c r="C86" s="33">
        <f>I73</f>
        <v>91895.926053334872</v>
      </c>
      <c r="D86" s="31">
        <f>E30</f>
        <v>27900</v>
      </c>
      <c r="E86" s="33">
        <f>IF(C86&lt;=D86,C86,D86)</f>
        <v>27900</v>
      </c>
      <c r="F86" s="28"/>
      <c r="G86" s="28"/>
      <c r="H86" s="28"/>
    </row>
    <row r="87" spans="1:9" x14ac:dyDescent="0.25">
      <c r="B87" s="9" t="s">
        <v>27</v>
      </c>
      <c r="C87" s="33">
        <f>I74</f>
        <v>121578.92816402978</v>
      </c>
      <c r="D87" s="31">
        <f>E31</f>
        <v>21600</v>
      </c>
      <c r="E87" s="33">
        <f>IF(C87&lt;=D87,C87,D87)</f>
        <v>21600</v>
      </c>
      <c r="F87" s="28"/>
      <c r="G87" s="28"/>
      <c r="H87" s="28"/>
    </row>
    <row r="88" spans="1:9" x14ac:dyDescent="0.25">
      <c r="B88" s="9"/>
      <c r="C88" s="9"/>
      <c r="D88" s="9"/>
      <c r="E88" s="35"/>
      <c r="F88" s="28"/>
      <c r="G88" s="28"/>
      <c r="H88" s="28"/>
    </row>
    <row r="89" spans="1:9" x14ac:dyDescent="0.25">
      <c r="B89" s="30" t="s">
        <v>28</v>
      </c>
      <c r="C89" s="28"/>
      <c r="D89" s="28"/>
      <c r="E89" s="40">
        <f>SUM(E85:E88)</f>
        <v>109500</v>
      </c>
      <c r="F89" s="28"/>
      <c r="G89" s="28"/>
      <c r="H89" s="28"/>
    </row>
    <row r="91" spans="1:9" ht="16.5" thickBot="1" x14ac:dyDescent="0.3">
      <c r="A91" s="25" t="s">
        <v>132</v>
      </c>
      <c r="B91" s="25"/>
      <c r="C91" s="25"/>
      <c r="D91" s="25"/>
      <c r="E91" s="25"/>
      <c r="F91" s="25"/>
      <c r="G91" s="25"/>
      <c r="H91" s="25"/>
      <c r="I91" s="25"/>
    </row>
    <row r="93" spans="1:9" ht="16.5" thickBot="1" x14ac:dyDescent="0.3">
      <c r="A93" s="41" t="s">
        <v>133</v>
      </c>
      <c r="B93" s="42"/>
      <c r="C93" s="42"/>
      <c r="D93" s="42"/>
      <c r="E93" s="42"/>
      <c r="F93" s="42"/>
      <c r="G93" s="42"/>
      <c r="H93" s="42"/>
      <c r="I93" s="42"/>
    </row>
    <row r="94" spans="1:9" ht="16.5" thickTop="1" x14ac:dyDescent="0.25"/>
    <row r="95" spans="1:9" ht="45" x14ac:dyDescent="0.25">
      <c r="B95" s="51" t="s">
        <v>49</v>
      </c>
      <c r="C95" s="51" t="s">
        <v>78</v>
      </c>
      <c r="D95" s="51" t="s">
        <v>81</v>
      </c>
      <c r="E95" s="51" t="s">
        <v>80</v>
      </c>
    </row>
    <row r="96" spans="1:9" x14ac:dyDescent="0.25">
      <c r="B96" s="1" t="str">
        <f>B85</f>
        <v>Enfermera</v>
      </c>
      <c r="C96" s="23">
        <f>E85</f>
        <v>60000</v>
      </c>
      <c r="D96" s="23">
        <f>D85</f>
        <v>60000</v>
      </c>
      <c r="E96" s="15">
        <f>G29</f>
        <v>89.62</v>
      </c>
    </row>
    <row r="97" spans="1:11" x14ac:dyDescent="0.25">
      <c r="B97" s="1" t="str">
        <f>B86</f>
        <v>Asistente administrativo</v>
      </c>
      <c r="C97" s="23">
        <f>E86</f>
        <v>27900</v>
      </c>
      <c r="D97" s="23">
        <f>D86</f>
        <v>27900</v>
      </c>
      <c r="E97" s="15">
        <f>G30</f>
        <v>89.62</v>
      </c>
    </row>
    <row r="98" spans="1:11" x14ac:dyDescent="0.25">
      <c r="B98" s="1" t="str">
        <f>B87</f>
        <v>Secretaria</v>
      </c>
      <c r="C98" s="23">
        <f>E87</f>
        <v>21600</v>
      </c>
      <c r="D98" s="23">
        <f>D87</f>
        <v>21600</v>
      </c>
      <c r="E98" s="15">
        <f>G31</f>
        <v>89.62</v>
      </c>
    </row>
    <row r="100" spans="1:11" ht="16.5" thickBot="1" x14ac:dyDescent="0.3">
      <c r="A100" s="41" t="s">
        <v>134</v>
      </c>
      <c r="B100" s="42"/>
      <c r="C100" s="42"/>
      <c r="D100" s="42"/>
      <c r="E100" s="42"/>
      <c r="F100" s="42"/>
      <c r="G100" s="42"/>
      <c r="H100" s="42"/>
      <c r="I100" s="42"/>
    </row>
    <row r="101" spans="1:11" ht="16.5" thickTop="1" x14ac:dyDescent="0.25"/>
    <row r="102" spans="1:11" x14ac:dyDescent="0.25">
      <c r="A102" s="43" t="s">
        <v>135</v>
      </c>
      <c r="B102" s="22"/>
      <c r="C102" s="22"/>
      <c r="D102" s="22"/>
      <c r="E102" s="22"/>
      <c r="F102" s="22"/>
      <c r="G102" s="22"/>
      <c r="H102" s="22"/>
      <c r="I102" s="22"/>
    </row>
    <row r="104" spans="1:11" ht="60" x14ac:dyDescent="0.25">
      <c r="B104" s="51" t="s">
        <v>49</v>
      </c>
      <c r="C104" s="51" t="s">
        <v>79</v>
      </c>
      <c r="D104" s="51" t="s">
        <v>77</v>
      </c>
      <c r="E104" s="51" t="s">
        <v>71</v>
      </c>
      <c r="F104" s="51" t="s">
        <v>76</v>
      </c>
      <c r="G104" s="51" t="s">
        <v>75</v>
      </c>
      <c r="H104" s="51" t="s">
        <v>74</v>
      </c>
      <c r="I104" s="51" t="s">
        <v>73</v>
      </c>
      <c r="J104" s="51" t="s">
        <v>72</v>
      </c>
      <c r="K104" s="51" t="s">
        <v>118</v>
      </c>
    </row>
    <row r="105" spans="1:11" x14ac:dyDescent="0.25">
      <c r="B105" s="57"/>
      <c r="C105" s="57" t="s">
        <v>7</v>
      </c>
      <c r="D105" s="57" t="s">
        <v>8</v>
      </c>
      <c r="E105" s="57" t="s">
        <v>99</v>
      </c>
      <c r="F105" s="57" t="s">
        <v>23</v>
      </c>
      <c r="G105" s="57" t="s">
        <v>100</v>
      </c>
      <c r="H105" s="57" t="s">
        <v>101</v>
      </c>
      <c r="I105" s="57" t="s">
        <v>102</v>
      </c>
      <c r="J105" s="57" t="s">
        <v>103</v>
      </c>
      <c r="K105" s="57" t="s">
        <v>104</v>
      </c>
    </row>
    <row r="106" spans="1:11" x14ac:dyDescent="0.25">
      <c r="B106" s="1" t="str">
        <f>B96</f>
        <v>Enfermera</v>
      </c>
      <c r="C106" s="23">
        <f>D96</f>
        <v>60000</v>
      </c>
      <c r="D106" s="23">
        <f>IF(C106=0,0,VLOOKUP(C106,impuesto_mensual,1))</f>
        <v>49233.01</v>
      </c>
      <c r="E106" s="23">
        <f>C106-D106</f>
        <v>10766.989999999998</v>
      </c>
      <c r="F106" s="44">
        <f>IF(C106=0,0,(VLOOKUP(C106,impuesto_mensual,4))/100)</f>
        <v>0.3</v>
      </c>
      <c r="G106" s="23">
        <f>E106*F106</f>
        <v>3230.0969999999993</v>
      </c>
      <c r="H106" s="23">
        <f>IF(C106=0,0,VLOOKUP(C106,impuesto_mensual,3))</f>
        <v>9236.89</v>
      </c>
      <c r="I106" s="23">
        <f>G106+H106</f>
        <v>12466.986999999999</v>
      </c>
      <c r="J106" s="23">
        <f>IF(C106=0,0,VLOOKUP(C106,crédito_mensual,3))</f>
        <v>0</v>
      </c>
      <c r="K106" s="23">
        <f>I106-J106</f>
        <v>12466.986999999999</v>
      </c>
    </row>
    <row r="107" spans="1:11" x14ac:dyDescent="0.25">
      <c r="B107" s="1" t="str">
        <f>B97</f>
        <v>Asistente administrativo</v>
      </c>
      <c r="C107" s="23">
        <f>D97</f>
        <v>27900</v>
      </c>
      <c r="D107" s="23">
        <f>IF(C107=0,0,VLOOKUP(C107,impuesto_mensual,1))</f>
        <v>15487.72</v>
      </c>
      <c r="E107" s="23">
        <f>C107-D107</f>
        <v>12412.28</v>
      </c>
      <c r="F107" s="44">
        <f>IF(C107=0,0,(VLOOKUP(C107,impuesto_mensual,4))/100)</f>
        <v>0.21359999999999998</v>
      </c>
      <c r="G107" s="23">
        <f>E107*F107</f>
        <v>2651.2630079999999</v>
      </c>
      <c r="H107" s="23">
        <f>IF(C107=0,0,VLOOKUP(C107,impuesto_mensual,3))</f>
        <v>1640.18</v>
      </c>
      <c r="I107" s="23">
        <f>G107+H107</f>
        <v>4291.4430080000002</v>
      </c>
      <c r="J107" s="23">
        <f>IF(C107=0,0,VLOOKUP(C107,crédito_mensual,3))</f>
        <v>0</v>
      </c>
      <c r="K107" s="23">
        <f>I107-J107</f>
        <v>4291.4430080000002</v>
      </c>
    </row>
    <row r="108" spans="1:11" x14ac:dyDescent="0.25">
      <c r="B108" s="1" t="str">
        <f>B98</f>
        <v>Secretaria</v>
      </c>
      <c r="C108" s="23">
        <f>D98</f>
        <v>21600</v>
      </c>
      <c r="D108" s="23">
        <f>IF(C108=0,0,VLOOKUP(C108,impuesto_mensual,1))</f>
        <v>15487.72</v>
      </c>
      <c r="E108" s="23">
        <f>C108-D108</f>
        <v>6112.2800000000007</v>
      </c>
      <c r="F108" s="44">
        <f>IF(C108=0,0,(VLOOKUP(C108,impuesto_mensual,4))/100)</f>
        <v>0.21359999999999998</v>
      </c>
      <c r="G108" s="23">
        <f>E108*F108</f>
        <v>1305.5830080000001</v>
      </c>
      <c r="H108" s="23">
        <f>IF(C108=0,0,VLOOKUP(C108,impuesto_mensual,3))</f>
        <v>1640.18</v>
      </c>
      <c r="I108" s="23">
        <f>G108+H108</f>
        <v>2945.7630079999999</v>
      </c>
      <c r="J108" s="23">
        <f>IF(C108=0,0,VLOOKUP(C108,crédito_mensual,3))</f>
        <v>0</v>
      </c>
      <c r="K108" s="23">
        <f>I108-J108</f>
        <v>2945.7630079999999</v>
      </c>
    </row>
    <row r="109" spans="1:11" x14ac:dyDescent="0.25">
      <c r="C109" s="23"/>
      <c r="D109" s="23"/>
      <c r="E109" s="23"/>
      <c r="F109" s="44"/>
      <c r="G109" s="23"/>
      <c r="H109" s="23"/>
      <c r="I109" s="23"/>
      <c r="J109" s="23"/>
      <c r="K109" s="23"/>
    </row>
    <row r="110" spans="1:11" x14ac:dyDescent="0.25">
      <c r="A110" s="43" t="s">
        <v>184</v>
      </c>
      <c r="B110" s="22"/>
      <c r="C110" s="22"/>
      <c r="D110" s="22"/>
      <c r="E110" s="22"/>
      <c r="F110" s="22"/>
      <c r="G110" s="22"/>
      <c r="H110" s="22"/>
      <c r="I110" s="22"/>
      <c r="J110" s="23"/>
      <c r="K110" s="23"/>
    </row>
    <row r="111" spans="1:11" x14ac:dyDescent="0.25">
      <c r="C111" s="23"/>
      <c r="D111" s="23"/>
      <c r="E111" s="23"/>
      <c r="F111" s="44"/>
      <c r="G111" s="23"/>
      <c r="H111" s="23"/>
      <c r="I111" s="23"/>
      <c r="J111" s="23"/>
      <c r="K111" s="23"/>
    </row>
    <row r="112" spans="1:11" ht="60" x14ac:dyDescent="0.25">
      <c r="B112" s="51" t="s">
        <v>49</v>
      </c>
      <c r="C112" s="51" t="s">
        <v>78</v>
      </c>
      <c r="D112" s="51" t="s">
        <v>199</v>
      </c>
      <c r="E112" s="51" t="s">
        <v>70</v>
      </c>
      <c r="F112" s="51" t="s">
        <v>108</v>
      </c>
      <c r="G112" s="51" t="s">
        <v>110</v>
      </c>
      <c r="H112" s="51" t="str">
        <f>C104</f>
        <v>Último sueldo mensual ordinario</v>
      </c>
      <c r="I112" s="51" t="s">
        <v>112</v>
      </c>
      <c r="J112" s="23"/>
      <c r="K112" s="23"/>
    </row>
    <row r="113" spans="1:11" x14ac:dyDescent="0.25">
      <c r="B113" s="56"/>
      <c r="C113" s="56" t="s">
        <v>105</v>
      </c>
      <c r="D113" s="56" t="s">
        <v>106</v>
      </c>
      <c r="E113" s="56" t="s">
        <v>107</v>
      </c>
      <c r="F113" s="56" t="s">
        <v>109</v>
      </c>
      <c r="G113" s="56" t="s">
        <v>111</v>
      </c>
      <c r="H113" s="56" t="s">
        <v>7</v>
      </c>
      <c r="I113" s="56" t="s">
        <v>113</v>
      </c>
      <c r="J113" s="23"/>
      <c r="K113" s="23"/>
    </row>
    <row r="114" spans="1:11" x14ac:dyDescent="0.25">
      <c r="B114" s="1" t="str">
        <f>B106</f>
        <v>Enfermera</v>
      </c>
      <c r="C114" s="23">
        <f>C96</f>
        <v>60000</v>
      </c>
      <c r="D114" s="23">
        <f>IF(C114=0,0,15*E96)</f>
        <v>1344.3000000000002</v>
      </c>
      <c r="E114" s="23">
        <f>IF(C114-D114&lt;0,0,C114-D114)</f>
        <v>58655.7</v>
      </c>
      <c r="F114" s="23">
        <f>E114/365</f>
        <v>160.70054794520547</v>
      </c>
      <c r="G114" s="23">
        <f>F114*30.4</f>
        <v>4885.2966575342462</v>
      </c>
      <c r="H114" s="23">
        <f>C106</f>
        <v>60000</v>
      </c>
      <c r="I114" s="23">
        <f>G114+H114</f>
        <v>64885.296657534243</v>
      </c>
      <c r="J114" s="23"/>
      <c r="K114" s="23"/>
    </row>
    <row r="115" spans="1:11" x14ac:dyDescent="0.25">
      <c r="B115" s="1" t="str">
        <f>B107</f>
        <v>Asistente administrativo</v>
      </c>
      <c r="C115" s="23">
        <f>C97</f>
        <v>27900</v>
      </c>
      <c r="D115" s="23">
        <f>IF(C115=0,0,15*E97)</f>
        <v>1344.3000000000002</v>
      </c>
      <c r="E115" s="23">
        <f>IF(C115-D115&lt;0,0,C115-D115)</f>
        <v>26555.7</v>
      </c>
      <c r="F115" s="23">
        <f>E115/365</f>
        <v>72.755342465753429</v>
      </c>
      <c r="G115" s="23">
        <f>F115*30.4</f>
        <v>2211.7624109589042</v>
      </c>
      <c r="H115" s="23">
        <f>C107</f>
        <v>27900</v>
      </c>
      <c r="I115" s="23">
        <f>G115+H115</f>
        <v>30111.762410958905</v>
      </c>
      <c r="J115" s="23"/>
      <c r="K115" s="23"/>
    </row>
    <row r="116" spans="1:11" x14ac:dyDescent="0.25">
      <c r="B116" s="1" t="str">
        <f>B108</f>
        <v>Secretaria</v>
      </c>
      <c r="C116" s="23">
        <f>C98</f>
        <v>21600</v>
      </c>
      <c r="D116" s="23">
        <f>IF(C116=0,0,15*E98)</f>
        <v>1344.3000000000002</v>
      </c>
      <c r="E116" s="23">
        <f>IF(C116-D116&lt;0,0,C116-D116)</f>
        <v>20255.7</v>
      </c>
      <c r="F116" s="23">
        <f>E116/365</f>
        <v>55.49506849315069</v>
      </c>
      <c r="G116" s="23">
        <f>F116*30.4</f>
        <v>1687.0500821917808</v>
      </c>
      <c r="H116" s="23">
        <f>C108</f>
        <v>21600</v>
      </c>
      <c r="I116" s="23">
        <f>G116+H116</f>
        <v>23287.050082191781</v>
      </c>
      <c r="J116" s="23"/>
      <c r="K116" s="23"/>
    </row>
    <row r="117" spans="1:11" x14ac:dyDescent="0.25">
      <c r="C117" s="23"/>
      <c r="D117" s="23"/>
      <c r="E117" s="23"/>
      <c r="F117" s="44"/>
      <c r="G117" s="23"/>
      <c r="H117" s="23"/>
      <c r="I117" s="23"/>
      <c r="J117" s="23"/>
      <c r="K117" s="23"/>
    </row>
    <row r="118" spans="1:11" x14ac:dyDescent="0.25">
      <c r="A118" s="43" t="s">
        <v>136</v>
      </c>
      <c r="B118" s="22"/>
      <c r="C118" s="22"/>
      <c r="D118" s="22"/>
      <c r="E118" s="22"/>
      <c r="F118" s="22"/>
      <c r="G118" s="22"/>
      <c r="H118" s="22"/>
      <c r="I118" s="22"/>
      <c r="J118" s="23"/>
      <c r="K118" s="23"/>
    </row>
    <row r="119" spans="1:11" x14ac:dyDescent="0.25">
      <c r="C119" s="23"/>
      <c r="D119" s="23"/>
      <c r="E119" s="23"/>
      <c r="F119" s="44"/>
      <c r="G119" s="23"/>
      <c r="H119" s="23"/>
      <c r="I119" s="23"/>
      <c r="J119" s="23"/>
      <c r="K119" s="23"/>
    </row>
    <row r="120" spans="1:11" ht="45" x14ac:dyDescent="0.25">
      <c r="B120" s="51" t="s">
        <v>49</v>
      </c>
      <c r="C120" s="51" t="str">
        <f>I112</f>
        <v>Base gravable opcional</v>
      </c>
      <c r="D120" s="51" t="s">
        <v>77</v>
      </c>
      <c r="E120" s="51" t="s">
        <v>71</v>
      </c>
      <c r="F120" s="51" t="s">
        <v>76</v>
      </c>
      <c r="G120" s="51" t="s">
        <v>75</v>
      </c>
      <c r="H120" s="51" t="s">
        <v>74</v>
      </c>
      <c r="I120" s="51" t="s">
        <v>73</v>
      </c>
      <c r="J120" s="51" t="s">
        <v>72</v>
      </c>
      <c r="K120" s="51" t="s">
        <v>119</v>
      </c>
    </row>
    <row r="121" spans="1:11" x14ac:dyDescent="0.25">
      <c r="B121" s="56"/>
      <c r="C121" s="57" t="s">
        <v>114</v>
      </c>
      <c r="D121" s="57" t="s">
        <v>8</v>
      </c>
      <c r="E121" s="57" t="s">
        <v>99</v>
      </c>
      <c r="F121" s="57" t="s">
        <v>23</v>
      </c>
      <c r="G121" s="57" t="s">
        <v>100</v>
      </c>
      <c r="H121" s="57" t="s">
        <v>101</v>
      </c>
      <c r="I121" s="57" t="s">
        <v>102</v>
      </c>
      <c r="J121" s="57" t="s">
        <v>103</v>
      </c>
      <c r="K121" s="57" t="s">
        <v>115</v>
      </c>
    </row>
    <row r="122" spans="1:11" x14ac:dyDescent="0.25">
      <c r="B122" s="1" t="str">
        <f>B114</f>
        <v>Enfermera</v>
      </c>
      <c r="C122" s="23">
        <f>I114</f>
        <v>64885.296657534243</v>
      </c>
      <c r="D122" s="23">
        <f>IF(C122=0,0,VLOOKUP(C122,impuesto_mensual,1))</f>
        <v>49233.01</v>
      </c>
      <c r="E122" s="23">
        <f>C122-D122</f>
        <v>15652.286657534241</v>
      </c>
      <c r="F122" s="44">
        <f>IF(C122=0,0,(VLOOKUP(C122,impuesto_mensual,4))/100)</f>
        <v>0.3</v>
      </c>
      <c r="G122" s="23">
        <f>E122*F122</f>
        <v>4695.6859972602724</v>
      </c>
      <c r="H122" s="23">
        <f>IF(C122=0,0,VLOOKUP(C122,impuesto_mensual,3))</f>
        <v>9236.89</v>
      </c>
      <c r="I122" s="23">
        <f>G122+H122</f>
        <v>13932.575997260272</v>
      </c>
      <c r="J122" s="23">
        <f>IF(C122=0,0,VLOOKUP(C122,crédito_mensual,3))</f>
        <v>0</v>
      </c>
      <c r="K122" s="23">
        <f>I122-J122</f>
        <v>13932.575997260272</v>
      </c>
    </row>
    <row r="123" spans="1:11" x14ac:dyDescent="0.25">
      <c r="B123" s="1" t="str">
        <f>B115</f>
        <v>Asistente administrativo</v>
      </c>
      <c r="C123" s="23">
        <f>I115</f>
        <v>30111.762410958905</v>
      </c>
      <c r="D123" s="23">
        <f>IF(C123=0,0,VLOOKUP(C123,impuesto_mensual,1))</f>
        <v>15487.72</v>
      </c>
      <c r="E123" s="23">
        <f>C123-D123</f>
        <v>14624.042410958906</v>
      </c>
      <c r="F123" s="44">
        <f>IF(C123=0,0,(VLOOKUP(C123,impuesto_mensual,4))/100)</f>
        <v>0.21359999999999998</v>
      </c>
      <c r="G123" s="23">
        <f>E123*F123</f>
        <v>3123.695458980822</v>
      </c>
      <c r="H123" s="23">
        <f>IF(C123=0,0,VLOOKUP(C123,impuesto_mensual,3))</f>
        <v>1640.18</v>
      </c>
      <c r="I123" s="23">
        <f>G123+H123</f>
        <v>4763.8754589808223</v>
      </c>
      <c r="J123" s="23">
        <f>IF(C123=0,0,VLOOKUP(C123,crédito_mensual,3))</f>
        <v>0</v>
      </c>
      <c r="K123" s="23">
        <f>I123-J123</f>
        <v>4763.8754589808223</v>
      </c>
    </row>
    <row r="124" spans="1:11" x14ac:dyDescent="0.25">
      <c r="B124" s="1" t="str">
        <f>B116</f>
        <v>Secretaria</v>
      </c>
      <c r="C124" s="23">
        <f>I116</f>
        <v>23287.050082191781</v>
      </c>
      <c r="D124" s="23">
        <f>IF(C124=0,0,VLOOKUP(C124,impuesto_mensual,1))</f>
        <v>15487.72</v>
      </c>
      <c r="E124" s="23">
        <f>C124-D124</f>
        <v>7799.3300821917819</v>
      </c>
      <c r="F124" s="44">
        <f>IF(C124=0,0,(VLOOKUP(C124,impuesto_mensual,4))/100)</f>
        <v>0.21359999999999998</v>
      </c>
      <c r="G124" s="23">
        <f>E124*F124</f>
        <v>1665.9369055561644</v>
      </c>
      <c r="H124" s="23">
        <f>IF(C124=0,0,VLOOKUP(C124,impuesto_mensual,3))</f>
        <v>1640.18</v>
      </c>
      <c r="I124" s="23">
        <f>G124+H124</f>
        <v>3306.1169055561645</v>
      </c>
      <c r="J124" s="23">
        <f>IF(C124=0,0,VLOOKUP(C124,crédito_mensual,3))</f>
        <v>0</v>
      </c>
      <c r="K124" s="23">
        <f>I124-J124</f>
        <v>3306.1169055561645</v>
      </c>
    </row>
    <row r="125" spans="1:11" x14ac:dyDescent="0.25">
      <c r="C125" s="23"/>
      <c r="D125" s="23"/>
      <c r="E125" s="23"/>
      <c r="F125" s="44"/>
      <c r="G125" s="23"/>
      <c r="H125" s="23"/>
      <c r="I125" s="23"/>
      <c r="J125" s="23"/>
      <c r="K125" s="23"/>
    </row>
    <row r="126" spans="1:11" x14ac:dyDescent="0.25">
      <c r="A126" s="43" t="s">
        <v>138</v>
      </c>
      <c r="B126" s="22"/>
      <c r="C126" s="22"/>
      <c r="D126" s="22"/>
      <c r="E126" s="22"/>
      <c r="F126" s="22"/>
      <c r="G126" s="22"/>
      <c r="H126" s="22"/>
      <c r="I126" s="22"/>
      <c r="J126" s="23"/>
      <c r="K126" s="23"/>
    </row>
    <row r="127" spans="1:11" x14ac:dyDescent="0.25">
      <c r="C127" s="23"/>
      <c r="D127" s="23"/>
      <c r="E127" s="23"/>
      <c r="F127" s="44"/>
      <c r="G127" s="23"/>
      <c r="H127" s="23"/>
      <c r="I127" s="23"/>
      <c r="J127" s="23"/>
      <c r="K127" s="23"/>
    </row>
    <row r="128" spans="1:11" ht="60" x14ac:dyDescent="0.25">
      <c r="B128" s="51" t="s">
        <v>49</v>
      </c>
      <c r="C128" s="51" t="s">
        <v>118</v>
      </c>
      <c r="D128" s="51" t="s">
        <v>119</v>
      </c>
      <c r="E128" s="51" t="s">
        <v>71</v>
      </c>
      <c r="F128" s="51" t="s">
        <v>110</v>
      </c>
      <c r="G128" s="51" t="s">
        <v>123</v>
      </c>
      <c r="H128" s="51" t="s">
        <v>70</v>
      </c>
      <c r="I128" s="51" t="s">
        <v>131</v>
      </c>
      <c r="J128" s="51" t="s">
        <v>162</v>
      </c>
      <c r="K128" s="51" t="s">
        <v>167</v>
      </c>
    </row>
    <row r="129" spans="1:11" x14ac:dyDescent="0.25">
      <c r="B129" s="56"/>
      <c r="C129" s="57" t="s">
        <v>44</v>
      </c>
      <c r="D129" s="57" t="s">
        <v>120</v>
      </c>
      <c r="E129" s="56" t="s">
        <v>121</v>
      </c>
      <c r="F129" s="56" t="s">
        <v>122</v>
      </c>
      <c r="G129" s="56" t="s">
        <v>124</v>
      </c>
      <c r="H129" s="58" t="s">
        <v>129</v>
      </c>
      <c r="I129" s="56" t="s">
        <v>125</v>
      </c>
      <c r="J129" s="57" t="s">
        <v>44</v>
      </c>
      <c r="K129" s="57" t="s">
        <v>177</v>
      </c>
    </row>
    <row r="130" spans="1:11" x14ac:dyDescent="0.25">
      <c r="B130" s="1" t="str">
        <f>B122</f>
        <v>Enfermera</v>
      </c>
      <c r="C130" s="23">
        <f>K106</f>
        <v>12466.986999999999</v>
      </c>
      <c r="D130" s="23">
        <f>K122</f>
        <v>13932.575997260272</v>
      </c>
      <c r="E130" s="23">
        <f>D130-C130</f>
        <v>1465.5889972602727</v>
      </c>
      <c r="F130" s="23">
        <f>G114</f>
        <v>4885.2966575342462</v>
      </c>
      <c r="G130" s="45">
        <f>IF(F130=0,0,E130/F130)</f>
        <v>0.29999999999999977</v>
      </c>
      <c r="H130" s="23">
        <f>E114</f>
        <v>58655.7</v>
      </c>
      <c r="I130" s="23">
        <f>G130*H130</f>
        <v>17596.709999999985</v>
      </c>
      <c r="J130" s="23">
        <f>K106</f>
        <v>12466.986999999999</v>
      </c>
      <c r="K130" s="23">
        <f>I130+J130</f>
        <v>30063.696999999986</v>
      </c>
    </row>
    <row r="131" spans="1:11" x14ac:dyDescent="0.25">
      <c r="B131" s="1" t="str">
        <f>B123</f>
        <v>Asistente administrativo</v>
      </c>
      <c r="C131" s="23">
        <f>K107</f>
        <v>4291.4430080000002</v>
      </c>
      <c r="D131" s="23">
        <f>K123</f>
        <v>4763.8754589808223</v>
      </c>
      <c r="E131" s="23">
        <f>D131-C131</f>
        <v>472.43245098082207</v>
      </c>
      <c r="F131" s="23">
        <f>G115</f>
        <v>2211.7624109589042</v>
      </c>
      <c r="G131" s="45">
        <f>IF(F131=0,0,E131/F131)</f>
        <v>0.21360000000000007</v>
      </c>
      <c r="H131" s="23">
        <f>E115</f>
        <v>26555.7</v>
      </c>
      <c r="I131" s="23">
        <f>G131*H131</f>
        <v>5672.2975200000019</v>
      </c>
      <c r="J131" s="23">
        <f>K107</f>
        <v>4291.4430080000002</v>
      </c>
      <c r="K131" s="23">
        <f>I131+J131</f>
        <v>9963.7405280000021</v>
      </c>
    </row>
    <row r="132" spans="1:11" x14ac:dyDescent="0.25">
      <c r="B132" s="1" t="str">
        <f>B124</f>
        <v>Secretaria</v>
      </c>
      <c r="C132" s="23">
        <f>K108</f>
        <v>2945.7630079999999</v>
      </c>
      <c r="D132" s="23">
        <f>K124</f>
        <v>3306.1169055561645</v>
      </c>
      <c r="E132" s="23">
        <f>D132-C132</f>
        <v>360.35389755616461</v>
      </c>
      <c r="F132" s="23">
        <f>G116</f>
        <v>1687.0500821917808</v>
      </c>
      <c r="G132" s="45">
        <f>IF(F132=0,0,E132/F132)</f>
        <v>0.21360000000000015</v>
      </c>
      <c r="H132" s="23">
        <f>E116</f>
        <v>20255.7</v>
      </c>
      <c r="I132" s="23">
        <f>G132*H132</f>
        <v>4326.6175200000034</v>
      </c>
      <c r="J132" s="23">
        <f>K108</f>
        <v>2945.7630079999999</v>
      </c>
      <c r="K132" s="23">
        <f>I132+J132</f>
        <v>7272.3805280000033</v>
      </c>
    </row>
    <row r="133" spans="1:11" x14ac:dyDescent="0.25">
      <c r="C133" s="23"/>
      <c r="D133" s="23"/>
      <c r="E133" s="23"/>
      <c r="F133" s="44"/>
      <c r="G133" s="23"/>
      <c r="H133" s="23"/>
      <c r="I133" s="23"/>
      <c r="J133" s="23"/>
      <c r="K133" s="23"/>
    </row>
    <row r="134" spans="1:11" x14ac:dyDescent="0.25">
      <c r="C134" s="23"/>
      <c r="D134" s="23"/>
      <c r="E134" s="23"/>
      <c r="F134" s="44"/>
      <c r="G134" s="23"/>
      <c r="H134" s="23"/>
      <c r="I134" s="23"/>
      <c r="J134" s="23"/>
      <c r="K134" s="23"/>
    </row>
    <row r="135" spans="1:11" ht="16.5" thickBot="1" x14ac:dyDescent="0.3">
      <c r="A135" s="41" t="s">
        <v>137</v>
      </c>
      <c r="B135" s="42"/>
      <c r="C135" s="42"/>
      <c r="D135" s="42"/>
      <c r="E135" s="42"/>
      <c r="F135" s="42"/>
      <c r="G135" s="42"/>
      <c r="H135" s="42"/>
      <c r="I135" s="42"/>
    </row>
    <row r="136" spans="1:11" ht="16.5" thickTop="1" x14ac:dyDescent="0.25"/>
    <row r="137" spans="1:11" ht="30" x14ac:dyDescent="0.25">
      <c r="B137" s="51" t="s">
        <v>49</v>
      </c>
      <c r="C137" s="51" t="s">
        <v>163</v>
      </c>
      <c r="D137" s="51" t="s">
        <v>164</v>
      </c>
      <c r="E137" s="51" t="s">
        <v>172</v>
      </c>
      <c r="F137" s="51" t="s">
        <v>165</v>
      </c>
    </row>
    <row r="138" spans="1:11" x14ac:dyDescent="0.25">
      <c r="B138" s="57"/>
      <c r="C138" s="57" t="s">
        <v>7</v>
      </c>
      <c r="D138" s="57" t="s">
        <v>105</v>
      </c>
      <c r="E138" s="57" t="s">
        <v>106</v>
      </c>
      <c r="F138" s="57" t="s">
        <v>166</v>
      </c>
    </row>
    <row r="139" spans="1:11" x14ac:dyDescent="0.25">
      <c r="B139" s="1" t="str">
        <f>B130</f>
        <v>Enfermera</v>
      </c>
      <c r="C139" s="23">
        <f>E29</f>
        <v>60000</v>
      </c>
      <c r="D139" s="23">
        <f>E85</f>
        <v>60000</v>
      </c>
      <c r="E139" s="23">
        <f>D114</f>
        <v>1344.3000000000002</v>
      </c>
      <c r="F139" s="23">
        <f>C139+D139-E139</f>
        <v>118655.7</v>
      </c>
    </row>
    <row r="140" spans="1:11" x14ac:dyDescent="0.25">
      <c r="B140" s="1" t="str">
        <f>B131</f>
        <v>Asistente administrativo</v>
      </c>
      <c r="C140" s="23">
        <f>E30</f>
        <v>27900</v>
      </c>
      <c r="D140" s="23">
        <f>E86</f>
        <v>27900</v>
      </c>
      <c r="E140" s="23">
        <f>D115</f>
        <v>1344.3000000000002</v>
      </c>
      <c r="F140" s="23">
        <f>C140+D140-E140</f>
        <v>54455.7</v>
      </c>
    </row>
    <row r="141" spans="1:11" x14ac:dyDescent="0.25">
      <c r="B141" s="1" t="str">
        <f>B132</f>
        <v>Secretaria</v>
      </c>
      <c r="C141" s="23">
        <f>E31</f>
        <v>21600</v>
      </c>
      <c r="D141" s="23">
        <f>E87</f>
        <v>21600</v>
      </c>
      <c r="E141" s="23">
        <f>D116</f>
        <v>1344.3000000000002</v>
      </c>
      <c r="F141" s="23">
        <f>C141+D141-E141</f>
        <v>41855.699999999997</v>
      </c>
    </row>
    <row r="143" spans="1:11" ht="30" x14ac:dyDescent="0.25">
      <c r="B143" s="51" t="s">
        <v>49</v>
      </c>
      <c r="C143" s="51" t="s">
        <v>70</v>
      </c>
      <c r="D143" s="51" t="s">
        <v>77</v>
      </c>
      <c r="E143" s="51" t="s">
        <v>71</v>
      </c>
      <c r="F143" s="51" t="s">
        <v>76</v>
      </c>
      <c r="G143" s="51" t="s">
        <v>75</v>
      </c>
      <c r="H143" s="51" t="s">
        <v>74</v>
      </c>
      <c r="I143" s="51" t="s">
        <v>73</v>
      </c>
      <c r="J143" s="51" t="s">
        <v>72</v>
      </c>
      <c r="K143" s="51" t="s">
        <v>127</v>
      </c>
    </row>
    <row r="144" spans="1:11" x14ac:dyDescent="0.25">
      <c r="B144" s="57"/>
      <c r="C144" s="57" t="s">
        <v>129</v>
      </c>
      <c r="D144" s="57" t="s">
        <v>8</v>
      </c>
      <c r="E144" s="57" t="s">
        <v>99</v>
      </c>
      <c r="F144" s="57" t="s">
        <v>23</v>
      </c>
      <c r="G144" s="57" t="s">
        <v>100</v>
      </c>
      <c r="H144" s="57" t="s">
        <v>101</v>
      </c>
      <c r="I144" s="57" t="s">
        <v>102</v>
      </c>
      <c r="J144" s="57" t="s">
        <v>103</v>
      </c>
      <c r="K144" s="57" t="s">
        <v>178</v>
      </c>
    </row>
    <row r="145" spans="1:11" x14ac:dyDescent="0.25">
      <c r="B145" s="1" t="str">
        <f>B130</f>
        <v>Enfermera</v>
      </c>
      <c r="C145" s="23">
        <f>F139</f>
        <v>118655.7</v>
      </c>
      <c r="D145" s="23">
        <f>IF(C145=0,0,VLOOKUP(C145,impuesto_mensual,1))</f>
        <v>93993.91</v>
      </c>
      <c r="E145" s="23">
        <f>C145-D145</f>
        <v>24661.789999999994</v>
      </c>
      <c r="F145" s="44">
        <f>IF(C145=0,0,(VLOOKUP(C145,impuesto_mensual,4))/100)</f>
        <v>0.32</v>
      </c>
      <c r="G145" s="23">
        <f>E145*F145</f>
        <v>7891.7727999999979</v>
      </c>
      <c r="H145" s="23">
        <f>IF(C145=0,0,VLOOKUP(C145,impuesto_mensual,3))</f>
        <v>22665.17</v>
      </c>
      <c r="I145" s="23">
        <f>G145+H145</f>
        <v>30556.942799999997</v>
      </c>
      <c r="J145" s="23">
        <f>IF(C145=0,0,VLOOKUP(C145,crédito_mensual,3))</f>
        <v>0</v>
      </c>
      <c r="K145" s="23">
        <f>I145-J145</f>
        <v>30556.942799999997</v>
      </c>
    </row>
    <row r="146" spans="1:11" x14ac:dyDescent="0.25">
      <c r="B146" s="1" t="str">
        <f>B131</f>
        <v>Asistente administrativo</v>
      </c>
      <c r="C146" s="23">
        <f>F140</f>
        <v>54455.7</v>
      </c>
      <c r="D146" s="23">
        <f>IF(C146=0,0,VLOOKUP(C146,impuesto_mensual,1))</f>
        <v>49233.01</v>
      </c>
      <c r="E146" s="23">
        <f>C146-D146</f>
        <v>5222.6899999999951</v>
      </c>
      <c r="F146" s="44">
        <f>IF(C146=0,0,(VLOOKUP(C146,impuesto_mensual,4))/100)</f>
        <v>0.3</v>
      </c>
      <c r="G146" s="23">
        <f>E146*F146</f>
        <v>1566.8069999999984</v>
      </c>
      <c r="H146" s="23">
        <f>IF(C146=0,0,VLOOKUP(C146,impuesto_mensual,3))</f>
        <v>9236.89</v>
      </c>
      <c r="I146" s="23">
        <f>G146+H146</f>
        <v>10803.696999999998</v>
      </c>
      <c r="J146" s="23">
        <f>IF(C146=0,0,VLOOKUP(C146,crédito_mensual,3))</f>
        <v>0</v>
      </c>
      <c r="K146" s="23">
        <f>I146-J146</f>
        <v>10803.696999999998</v>
      </c>
    </row>
    <row r="147" spans="1:11" x14ac:dyDescent="0.25">
      <c r="B147" s="1" t="str">
        <f>B132</f>
        <v>Secretaria</v>
      </c>
      <c r="C147" s="23">
        <f>F141</f>
        <v>41855.699999999997</v>
      </c>
      <c r="D147" s="23">
        <f>IF(C147=0,0,VLOOKUP(C147,impuesto_mensual,1))</f>
        <v>31236.5</v>
      </c>
      <c r="E147" s="23">
        <f>C147-D147</f>
        <v>10619.199999999997</v>
      </c>
      <c r="F147" s="44">
        <f>IF(C147=0,0,(VLOOKUP(C147,impuesto_mensual,4))/100)</f>
        <v>0.23519999999999999</v>
      </c>
      <c r="G147" s="23">
        <f>E147*F147</f>
        <v>2497.6358399999995</v>
      </c>
      <c r="H147" s="23">
        <f>IF(C147=0,0,VLOOKUP(C147,impuesto_mensual,3))</f>
        <v>5004.12</v>
      </c>
      <c r="I147" s="23">
        <f>G147+H147</f>
        <v>7501.7558399999998</v>
      </c>
      <c r="J147" s="23">
        <f>IF(C147=0,0,VLOOKUP(C147,crédito_mensual,3))</f>
        <v>0</v>
      </c>
      <c r="K147" s="23">
        <f>I147-J147</f>
        <v>7501.7558399999998</v>
      </c>
    </row>
    <row r="150" spans="1:11" ht="16.5" thickBot="1" x14ac:dyDescent="0.3">
      <c r="A150" s="41" t="s">
        <v>139</v>
      </c>
      <c r="B150" s="42"/>
      <c r="C150" s="42"/>
      <c r="D150" s="42"/>
      <c r="E150" s="42"/>
      <c r="F150" s="42"/>
      <c r="G150" s="42"/>
      <c r="H150" s="42"/>
      <c r="I150" s="42"/>
    </row>
    <row r="151" spans="1:11" ht="16.5" thickTop="1" x14ac:dyDescent="0.25"/>
    <row r="152" spans="1:11" ht="60" x14ac:dyDescent="0.25">
      <c r="B152" s="51" t="s">
        <v>49</v>
      </c>
      <c r="C152" s="51" t="s">
        <v>167</v>
      </c>
      <c r="D152" s="51" t="s">
        <v>168</v>
      </c>
      <c r="E152" s="51" t="s">
        <v>71</v>
      </c>
      <c r="F152" s="51" t="s">
        <v>140</v>
      </c>
    </row>
    <row r="153" spans="1:11" ht="30" x14ac:dyDescent="0.25">
      <c r="B153" s="57"/>
      <c r="C153" s="57" t="s">
        <v>130</v>
      </c>
      <c r="D153" s="57" t="s">
        <v>169</v>
      </c>
      <c r="E153" s="57" t="s">
        <v>170</v>
      </c>
      <c r="F153" s="57" t="s">
        <v>171</v>
      </c>
    </row>
    <row r="154" spans="1:11" x14ac:dyDescent="0.25">
      <c r="B154" s="1" t="str">
        <f>B145</f>
        <v>Enfermera</v>
      </c>
      <c r="C154" s="23">
        <f>K130</f>
        <v>30063.696999999986</v>
      </c>
      <c r="D154" s="23">
        <f>K145</f>
        <v>30556.942799999997</v>
      </c>
      <c r="E154" s="23">
        <f>C154-D154</f>
        <v>-493.24580000001151</v>
      </c>
      <c r="F154" s="23">
        <f>IF(C154&lt;D154,C154,D154)</f>
        <v>30063.696999999986</v>
      </c>
    </row>
    <row r="155" spans="1:11" x14ac:dyDescent="0.25">
      <c r="B155" s="1" t="str">
        <f>B146</f>
        <v>Asistente administrativo</v>
      </c>
      <c r="C155" s="23">
        <f>K131</f>
        <v>9963.7405280000021</v>
      </c>
      <c r="D155" s="23">
        <f>K146</f>
        <v>10803.696999999998</v>
      </c>
      <c r="E155" s="23">
        <f>C155-D155</f>
        <v>-839.95647199999621</v>
      </c>
      <c r="F155" s="23">
        <f>IF(C155&lt;D155,C155,D155)</f>
        <v>9963.7405280000021</v>
      </c>
    </row>
    <row r="156" spans="1:11" x14ac:dyDescent="0.25">
      <c r="B156" s="1" t="str">
        <f>B147</f>
        <v>Secretaria</v>
      </c>
      <c r="C156" s="23">
        <f>K132</f>
        <v>7272.3805280000033</v>
      </c>
      <c r="D156" s="23">
        <f>K147</f>
        <v>7501.7558399999998</v>
      </c>
      <c r="E156" s="23">
        <f>C156-D156</f>
        <v>-229.37531199999648</v>
      </c>
      <c r="F156" s="23">
        <f>IF(C156&lt;D156,C156,D156)</f>
        <v>7272.3805280000033</v>
      </c>
      <c r="G156" s="23"/>
      <c r="H156" s="23"/>
      <c r="I156" s="23"/>
    </row>
  </sheetData>
  <mergeCells count="5">
    <mergeCell ref="A1:I1"/>
    <mergeCell ref="A2:I2"/>
    <mergeCell ref="A3:I3"/>
    <mergeCell ref="B81:H81"/>
    <mergeCell ref="B33:I33"/>
  </mergeCells>
  <phoneticPr fontId="2" type="noConversion"/>
  <pageMargins left="0.74803149606299213" right="0.74803149606299213" top="0.98425196850393704" bottom="0.98425196850393704" header="0" footer="0"/>
  <pageSetup scale="75" fitToHeight="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7"/>
  <sheetViews>
    <sheetView topLeftCell="A22" workbookViewId="0">
      <selection activeCell="A27" sqref="A27:C37"/>
    </sheetView>
  </sheetViews>
  <sheetFormatPr baseColWidth="10" defaultColWidth="29.5" defaultRowHeight="15" x14ac:dyDescent="0.25"/>
  <cols>
    <col min="1" max="4" width="29.5" style="68" customWidth="1"/>
    <col min="5" max="16384" width="29.5" style="59"/>
  </cols>
  <sheetData>
    <row r="1" spans="1:4" x14ac:dyDescent="0.25">
      <c r="A1" s="61" t="s">
        <v>262</v>
      </c>
      <c r="B1" s="61"/>
      <c r="C1" s="61"/>
      <c r="D1" s="61"/>
    </row>
    <row r="3" spans="1:4" x14ac:dyDescent="0.25">
      <c r="A3" s="61" t="s">
        <v>192</v>
      </c>
      <c r="B3" s="61"/>
      <c r="C3" s="61"/>
      <c r="D3" s="61"/>
    </row>
    <row r="5" spans="1:4" x14ac:dyDescent="0.25">
      <c r="A5" s="62" t="s">
        <v>88</v>
      </c>
      <c r="B5" s="62" t="s">
        <v>88</v>
      </c>
      <c r="C5" s="62" t="s">
        <v>94</v>
      </c>
      <c r="D5" s="62" t="s">
        <v>93</v>
      </c>
    </row>
    <row r="6" spans="1:4" x14ac:dyDescent="0.25">
      <c r="A6" s="62" t="s">
        <v>86</v>
      </c>
      <c r="B6" s="62" t="s">
        <v>85</v>
      </c>
      <c r="C6" s="62" t="s">
        <v>92</v>
      </c>
      <c r="D6" s="62" t="s">
        <v>91</v>
      </c>
    </row>
    <row r="7" spans="1:4" x14ac:dyDescent="0.25">
      <c r="A7" s="63" t="s">
        <v>83</v>
      </c>
      <c r="B7" s="63" t="s">
        <v>83</v>
      </c>
      <c r="C7" s="63" t="s">
        <v>83</v>
      </c>
      <c r="D7" s="63" t="s">
        <v>90</v>
      </c>
    </row>
    <row r="8" spans="1:4" x14ac:dyDescent="0.25">
      <c r="A8" s="64">
        <v>0.01</v>
      </c>
      <c r="B8" s="64">
        <v>746.04</v>
      </c>
      <c r="C8" s="65">
        <v>0</v>
      </c>
      <c r="D8" s="66">
        <v>1.92</v>
      </c>
    </row>
    <row r="9" spans="1:4" x14ac:dyDescent="0.25">
      <c r="A9" s="64">
        <v>746.05</v>
      </c>
      <c r="B9" s="64">
        <v>6332.05</v>
      </c>
      <c r="C9" s="65">
        <v>14.32</v>
      </c>
      <c r="D9" s="66">
        <v>6.4</v>
      </c>
    </row>
    <row r="10" spans="1:4" x14ac:dyDescent="0.25">
      <c r="A10" s="64">
        <v>6332.06</v>
      </c>
      <c r="B10" s="64">
        <v>11128.01</v>
      </c>
      <c r="C10" s="65">
        <v>371.83</v>
      </c>
      <c r="D10" s="66">
        <v>10.88</v>
      </c>
    </row>
    <row r="11" spans="1:4" x14ac:dyDescent="0.25">
      <c r="A11" s="64">
        <v>11128.02</v>
      </c>
      <c r="B11" s="64">
        <v>12935.82</v>
      </c>
      <c r="C11" s="65">
        <v>893.63</v>
      </c>
      <c r="D11" s="66">
        <v>16</v>
      </c>
    </row>
    <row r="12" spans="1:4" x14ac:dyDescent="0.25">
      <c r="A12" s="64">
        <v>12935.83</v>
      </c>
      <c r="B12" s="64">
        <v>15487.71</v>
      </c>
      <c r="C12" s="65">
        <v>1182.8800000000001</v>
      </c>
      <c r="D12" s="66">
        <v>17.920000000000002</v>
      </c>
    </row>
    <row r="13" spans="1:4" x14ac:dyDescent="0.25">
      <c r="A13" s="64">
        <v>15487.72</v>
      </c>
      <c r="B13" s="64">
        <v>31236.49</v>
      </c>
      <c r="C13" s="65">
        <v>1640.18</v>
      </c>
      <c r="D13" s="66">
        <v>21.36</v>
      </c>
    </row>
    <row r="14" spans="1:4" x14ac:dyDescent="0.25">
      <c r="A14" s="64">
        <v>31236.5</v>
      </c>
      <c r="B14" s="64">
        <v>49233</v>
      </c>
      <c r="C14" s="65">
        <v>5004.12</v>
      </c>
      <c r="D14" s="66">
        <v>23.52</v>
      </c>
    </row>
    <row r="15" spans="1:4" x14ac:dyDescent="0.25">
      <c r="A15" s="64">
        <v>49233.01</v>
      </c>
      <c r="B15" s="64">
        <v>93993.9</v>
      </c>
      <c r="C15" s="65">
        <v>9236.89</v>
      </c>
      <c r="D15" s="66">
        <v>30</v>
      </c>
    </row>
    <row r="16" spans="1:4" x14ac:dyDescent="0.25">
      <c r="A16" s="64">
        <v>93993.91</v>
      </c>
      <c r="B16" s="64">
        <v>125325.2</v>
      </c>
      <c r="C16" s="65">
        <v>22665.17</v>
      </c>
      <c r="D16" s="66">
        <v>32</v>
      </c>
    </row>
    <row r="17" spans="1:4" x14ac:dyDescent="0.25">
      <c r="A17" s="64">
        <v>125325.21</v>
      </c>
      <c r="B17" s="64">
        <v>375975.61</v>
      </c>
      <c r="C17" s="65">
        <v>32691.18</v>
      </c>
      <c r="D17" s="66">
        <v>34</v>
      </c>
    </row>
    <row r="18" spans="1:4" x14ac:dyDescent="0.25">
      <c r="A18" s="64">
        <v>375975.62</v>
      </c>
      <c r="B18" s="64" t="s">
        <v>82</v>
      </c>
      <c r="C18" s="65">
        <v>117912.32000000001</v>
      </c>
      <c r="D18" s="66">
        <v>35</v>
      </c>
    </row>
    <row r="19" spans="1:4" x14ac:dyDescent="0.25">
      <c r="A19" s="64"/>
      <c r="B19" s="64"/>
      <c r="C19" s="65"/>
      <c r="D19" s="66"/>
    </row>
    <row r="20" spans="1:4" x14ac:dyDescent="0.25">
      <c r="A20" s="64"/>
      <c r="B20" s="64"/>
      <c r="C20" s="65"/>
      <c r="D20" s="66"/>
    </row>
    <row r="21" spans="1:4" x14ac:dyDescent="0.25">
      <c r="A21" s="64"/>
      <c r="B21" s="64"/>
      <c r="C21" s="65"/>
      <c r="D21" s="67"/>
    </row>
    <row r="22" spans="1:4" x14ac:dyDescent="0.25">
      <c r="A22" s="115" t="s">
        <v>89</v>
      </c>
      <c r="B22" s="115"/>
      <c r="C22" s="115"/>
      <c r="D22" s="61"/>
    </row>
    <row r="24" spans="1:4" x14ac:dyDescent="0.25">
      <c r="A24" s="62" t="s">
        <v>88</v>
      </c>
      <c r="B24" s="62" t="s">
        <v>88</v>
      </c>
      <c r="C24" s="62" t="s">
        <v>87</v>
      </c>
      <c r="D24" s="59"/>
    </row>
    <row r="25" spans="1:4" x14ac:dyDescent="0.25">
      <c r="A25" s="62" t="s">
        <v>86</v>
      </c>
      <c r="B25" s="62" t="s">
        <v>85</v>
      </c>
      <c r="C25" s="62" t="s">
        <v>84</v>
      </c>
      <c r="D25" s="59"/>
    </row>
    <row r="26" spans="1:4" x14ac:dyDescent="0.25">
      <c r="A26" s="63" t="s">
        <v>83</v>
      </c>
      <c r="B26" s="63" t="s">
        <v>83</v>
      </c>
      <c r="C26" s="63" t="s">
        <v>83</v>
      </c>
      <c r="D26" s="59"/>
    </row>
    <row r="27" spans="1:4" x14ac:dyDescent="0.25">
      <c r="A27" s="64">
        <v>0.01</v>
      </c>
      <c r="B27" s="64">
        <v>1768.96</v>
      </c>
      <c r="C27" s="64">
        <v>407.02</v>
      </c>
      <c r="D27" s="59"/>
    </row>
    <row r="28" spans="1:4" x14ac:dyDescent="0.25">
      <c r="A28" s="64">
        <v>1768.97</v>
      </c>
      <c r="B28" s="64">
        <v>2653.38</v>
      </c>
      <c r="C28" s="64">
        <v>406.83</v>
      </c>
      <c r="D28" s="59"/>
    </row>
    <row r="29" spans="1:4" x14ac:dyDescent="0.25">
      <c r="A29" s="64">
        <v>2653.39</v>
      </c>
      <c r="B29" s="64">
        <v>3472.84</v>
      </c>
      <c r="C29" s="64">
        <v>406.62</v>
      </c>
    </row>
    <row r="30" spans="1:4" x14ac:dyDescent="0.25">
      <c r="A30" s="64">
        <v>3472.85</v>
      </c>
      <c r="B30" s="64">
        <v>3537.87</v>
      </c>
      <c r="C30" s="64">
        <v>392.77</v>
      </c>
    </row>
    <row r="31" spans="1:4" x14ac:dyDescent="0.25">
      <c r="A31" s="64">
        <v>3537.88</v>
      </c>
      <c r="B31" s="64">
        <v>4446.1499999999996</v>
      </c>
      <c r="C31" s="64">
        <v>382.46</v>
      </c>
    </row>
    <row r="32" spans="1:4" x14ac:dyDescent="0.25">
      <c r="A32" s="64">
        <v>4446.16</v>
      </c>
      <c r="B32" s="64">
        <v>4717.18</v>
      </c>
      <c r="C32" s="64">
        <v>354.23</v>
      </c>
    </row>
    <row r="33" spans="1:4" x14ac:dyDescent="0.25">
      <c r="A33" s="64">
        <v>4717.1899999999996</v>
      </c>
      <c r="B33" s="64">
        <v>5335.42</v>
      </c>
      <c r="C33" s="64">
        <v>324.87</v>
      </c>
    </row>
    <row r="34" spans="1:4" x14ac:dyDescent="0.25">
      <c r="A34" s="64">
        <v>5335.43</v>
      </c>
      <c r="B34" s="64">
        <v>6224.67</v>
      </c>
      <c r="C34" s="64">
        <v>294.63</v>
      </c>
    </row>
    <row r="35" spans="1:4" x14ac:dyDescent="0.25">
      <c r="A35" s="64">
        <v>6224.68</v>
      </c>
      <c r="B35" s="64">
        <v>7113.9</v>
      </c>
      <c r="C35" s="64">
        <v>253.54</v>
      </c>
      <c r="D35" s="59"/>
    </row>
    <row r="36" spans="1:4" x14ac:dyDescent="0.25">
      <c r="A36" s="64">
        <v>7113.91</v>
      </c>
      <c r="B36" s="64">
        <v>7382.33</v>
      </c>
      <c r="C36" s="64">
        <v>217.61</v>
      </c>
      <c r="D36" s="59"/>
    </row>
    <row r="37" spans="1:4" x14ac:dyDescent="0.25">
      <c r="A37" s="64">
        <v>7382.34</v>
      </c>
      <c r="B37" s="64" t="s">
        <v>82</v>
      </c>
      <c r="C37" s="64">
        <v>0</v>
      </c>
      <c r="D37" s="59"/>
    </row>
  </sheetData>
  <mergeCells count="1">
    <mergeCell ref="A22:C22"/>
  </mergeCells>
  <printOptions horizontalCentered="1"/>
  <pageMargins left="0.78740157480314965" right="0.78740157480314965" top="0.98425196850393704" bottom="0.98425196850393704" header="0.51181102362204722" footer="0.51181102362204722"/>
  <pageSetup scale="5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H10"/>
  <sheetViews>
    <sheetView tabSelected="1" zoomScale="120" zoomScaleNormal="120" workbookViewId="0"/>
  </sheetViews>
  <sheetFormatPr baseColWidth="10" defaultRowHeight="11.25" x14ac:dyDescent="0.2"/>
  <cols>
    <col min="1" max="1" width="23.1640625" style="70" bestFit="1" customWidth="1"/>
    <col min="2" max="7" width="12" style="70"/>
    <col min="8" max="8" width="12.6640625" style="70" bestFit="1" customWidth="1"/>
    <col min="9" max="16384" width="12" style="70"/>
  </cols>
  <sheetData>
    <row r="3" spans="1:8" x14ac:dyDescent="0.2">
      <c r="A3" s="73" t="s">
        <v>215</v>
      </c>
      <c r="B3" s="73" t="s">
        <v>209</v>
      </c>
      <c r="C3" s="73" t="s">
        <v>210</v>
      </c>
      <c r="D3" s="73" t="s">
        <v>211</v>
      </c>
      <c r="E3" s="73" t="s">
        <v>212</v>
      </c>
      <c r="F3" s="73" t="s">
        <v>213</v>
      </c>
      <c r="G3" s="73" t="s">
        <v>214</v>
      </c>
      <c r="H3" s="73" t="s">
        <v>28</v>
      </c>
    </row>
    <row r="4" spans="1:8" x14ac:dyDescent="0.2">
      <c r="A4" s="70" t="s">
        <v>204</v>
      </c>
      <c r="B4" s="74">
        <v>225000</v>
      </c>
      <c r="C4" s="74">
        <v>376000</v>
      </c>
      <c r="D4" s="74">
        <v>289000</v>
      </c>
      <c r="E4" s="74">
        <v>315000</v>
      </c>
      <c r="F4" s="74">
        <v>328000</v>
      </c>
      <c r="G4" s="74">
        <v>336000</v>
      </c>
      <c r="H4" s="74">
        <f>SUM(B4:G4)</f>
        <v>1869000</v>
      </c>
    </row>
    <row r="5" spans="1:8" ht="22.5" x14ac:dyDescent="0.2">
      <c r="A5" s="71" t="s">
        <v>205</v>
      </c>
      <c r="B5" s="74">
        <v>14128</v>
      </c>
      <c r="C5" s="74">
        <v>13136</v>
      </c>
      <c r="D5" s="74">
        <v>10176</v>
      </c>
      <c r="E5" s="74">
        <v>13482</v>
      </c>
      <c r="F5" s="74">
        <v>14788</v>
      </c>
      <c r="G5" s="74">
        <v>28174</v>
      </c>
      <c r="H5" s="74">
        <f t="shared" ref="H5:H7" si="0">SUM(B5:G5)</f>
        <v>93884</v>
      </c>
    </row>
    <row r="6" spans="1:8" x14ac:dyDescent="0.2">
      <c r="A6" s="70" t="s">
        <v>206</v>
      </c>
      <c r="B6" s="74">
        <v>108600</v>
      </c>
      <c r="C6" s="74">
        <v>112410</v>
      </c>
      <c r="D6" s="74">
        <v>115050</v>
      </c>
      <c r="E6" s="74">
        <v>148775</v>
      </c>
      <c r="F6" s="74">
        <v>154565</v>
      </c>
      <c r="G6" s="74">
        <v>175785</v>
      </c>
      <c r="H6" s="74">
        <f t="shared" si="0"/>
        <v>815185</v>
      </c>
    </row>
    <row r="7" spans="1:8" x14ac:dyDescent="0.2">
      <c r="A7" s="70" t="s">
        <v>207</v>
      </c>
      <c r="B7" s="74"/>
      <c r="C7" s="74">
        <v>38700</v>
      </c>
      <c r="D7" s="74"/>
      <c r="E7" s="74"/>
      <c r="F7" s="74">
        <v>45000</v>
      </c>
      <c r="G7" s="74"/>
      <c r="H7" s="74">
        <f t="shared" si="0"/>
        <v>83700</v>
      </c>
    </row>
    <row r="8" spans="1:8" x14ac:dyDescent="0.2">
      <c r="A8" s="72" t="s">
        <v>208</v>
      </c>
      <c r="B8" s="75">
        <f>B4-B5-B6-B7</f>
        <v>102272</v>
      </c>
      <c r="C8" s="75">
        <f t="shared" ref="C8:H8" si="1">C4-C5-C6-C7</f>
        <v>211754</v>
      </c>
      <c r="D8" s="75">
        <f t="shared" si="1"/>
        <v>163774</v>
      </c>
      <c r="E8" s="75">
        <f t="shared" si="1"/>
        <v>152743</v>
      </c>
      <c r="F8" s="75">
        <f t="shared" si="1"/>
        <v>113647</v>
      </c>
      <c r="G8" s="75">
        <f t="shared" si="1"/>
        <v>132041</v>
      </c>
      <c r="H8" s="75">
        <f t="shared" si="1"/>
        <v>876231</v>
      </c>
    </row>
    <row r="9" spans="1:8" x14ac:dyDescent="0.2">
      <c r="A9" s="70" t="s">
        <v>216</v>
      </c>
      <c r="H9" s="76">
        <v>0.1</v>
      </c>
    </row>
    <row r="10" spans="1:8" x14ac:dyDescent="0.2">
      <c r="A10" s="72" t="s">
        <v>217</v>
      </c>
      <c r="B10" s="72"/>
      <c r="C10" s="72"/>
      <c r="D10" s="72"/>
      <c r="E10" s="72"/>
      <c r="F10" s="72"/>
      <c r="G10" s="72"/>
      <c r="H10" s="77">
        <f>H8*H9</f>
        <v>87623.1</v>
      </c>
    </row>
  </sheetData>
  <phoneticPr fontId="0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B3D8C144DAA84885324F8DF7B15F0C" ma:contentTypeVersion="6" ma:contentTypeDescription="Crear nuevo documento." ma:contentTypeScope="" ma:versionID="3ea79c3da01bb248e2b61b332f470af9">
  <xsd:schema xmlns:xsd="http://www.w3.org/2001/XMLSchema" xmlns:xs="http://www.w3.org/2001/XMLSchema" xmlns:p="http://schemas.microsoft.com/office/2006/metadata/properties" xmlns:ns2="21bab152-4a9e-46bb-a496-89c0ce1eb68c" xmlns:ns3="bc7e9aa5-245e-45ea-ac72-161357faa9c5" targetNamespace="http://schemas.microsoft.com/office/2006/metadata/properties" ma:root="true" ma:fieldsID="ad6402a670dbc83e23dddf2eb4050c07" ns2:_="" ns3:_="">
    <xsd:import namespace="21bab152-4a9e-46bb-a496-89c0ce1eb68c"/>
    <xsd:import namespace="bc7e9aa5-245e-45ea-ac72-161357faa9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ab152-4a9e-46bb-a496-89c0ce1eb6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e9aa5-245e-45ea-ac72-161357faa9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D89ADA-C7E4-4B90-A50D-AB960292E8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2532B0-269F-4629-B360-1C1CD369E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bab152-4a9e-46bb-a496-89c0ce1eb68c"/>
    <ds:schemaRef ds:uri="bc7e9aa5-245e-45ea-ac72-161357faa9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66FFC7-DBF6-43A4-8171-ED7CE0DC0D85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bc7e9aa5-245e-45ea-ac72-161357faa9c5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1bab152-4a9e-46bb-a496-89c0ce1eb68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Comparación PTU</vt:lpstr>
      <vt:lpstr>Caso 1</vt:lpstr>
      <vt:lpstr>Caso 2</vt:lpstr>
      <vt:lpstr>Tarifas</vt:lpstr>
      <vt:lpstr>Renta Gravable RIF</vt:lpstr>
      <vt:lpstr>'Caso 1'!Área_de_impresión</vt:lpstr>
      <vt:lpstr>'Caso 2'!Área_de_impresión</vt:lpstr>
      <vt:lpstr>crédito_mensual</vt:lpstr>
      <vt:lpstr>impuesto_mensual</vt:lpstr>
    </vt:vector>
  </TitlesOfParts>
  <Manager>División Sistemas</Manager>
  <Company>Fiscalia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de los Trabajadores en las Utilidades 2008</dc:title>
  <dc:subject>Casos prácticos PTU 2008</dc:subject>
  <dc:creator>RTB</dc:creator>
  <cp:lastModifiedBy>RUBEN TORRES BENITEZ</cp:lastModifiedBy>
  <cp:lastPrinted>2008-05-11T19:25:19Z</cp:lastPrinted>
  <dcterms:created xsi:type="dcterms:W3CDTF">2006-05-03T04:38:19Z</dcterms:created>
  <dcterms:modified xsi:type="dcterms:W3CDTF">2023-04-24T21:10:45Z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0x01010039B3D8C144DAA84885324F8DF7B15F0C</vt:lpwstr>
  </property>
</Properties>
</file>